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4W Bulletins\4W Bulletins 2025\September\"/>
    </mc:Choice>
  </mc:AlternateContent>
  <xr:revisionPtr revIDLastSave="0" documentId="8_{7EB945A5-B187-4578-87A6-595A102DE823}" xr6:coauthVersionLast="47" xr6:coauthVersionMax="47" xr10:uidLastSave="{00000000-0000-0000-0000-000000000000}"/>
  <workbookProtection workbookAlgorithmName="SHA-512" workbookHashValue="NcPyLEOuQSOQb22OBDAfEQWxE+QGSzDi0hBZcWm0kUDLB2zG2FiHOiFChNPeKs+ekzVYBgrP4gRTg78Ckpmu7w==" workbookSaltValue="7R+uiGTY7iM7EtipUmJ1HQ==" workbookSpinCount="100000" lockStructure="1"/>
  <bookViews>
    <workbookView xWindow="-120" yWindow="-120" windowWidth="29040" windowHeight="17520" firstSheet="1" activeTab="1" xr2:uid="{2CCD8085-1499-418D-A843-CC1C6D39CF41}"/>
  </bookViews>
  <sheets>
    <sheet name="Sheet1" sheetId="1" state="hidden" r:id="rId1"/>
    <sheet name="e Vitara Cost of Ownership Calc" sheetId="2" r:id="rId2"/>
  </sheets>
  <definedNames>
    <definedName name="_xlnm.Print_Area" localSheetId="1">'e Vitara Cost of Ownership Calc'!$B$2:$R$26</definedName>
    <definedName name="_xlnm.Print_Area" localSheetId="0">Sheet1!$A$1:$AB$35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U7" i="2"/>
  <c r="L6" i="2"/>
  <c r="N4" i="2"/>
  <c r="P11" i="2" s="1"/>
  <c r="D18" i="2"/>
  <c r="E43" i="2"/>
  <c r="AC29" i="2"/>
  <c r="AC30" i="2"/>
  <c r="AC31" i="2"/>
  <c r="AC28" i="2"/>
  <c r="AO24" i="2"/>
  <c r="AN24" i="2"/>
  <c r="AM24" i="2"/>
  <c r="AL24" i="2"/>
  <c r="AK24" i="2"/>
  <c r="AJ24" i="2"/>
  <c r="AO23" i="2"/>
  <c r="AN23" i="2"/>
  <c r="AM23" i="2"/>
  <c r="AL23" i="2"/>
  <c r="AK23" i="2"/>
  <c r="AJ23" i="2"/>
  <c r="AO22" i="2"/>
  <c r="AN22" i="2"/>
  <c r="AM22" i="2"/>
  <c r="AL22" i="2"/>
  <c r="AK22" i="2"/>
  <c r="AJ22" i="2"/>
  <c r="AO21" i="2"/>
  <c r="AN21" i="2"/>
  <c r="AM21" i="2"/>
  <c r="AL21" i="2"/>
  <c r="AK21" i="2"/>
  <c r="AJ21" i="2"/>
  <c r="AO20" i="2"/>
  <c r="AN20" i="2"/>
  <c r="AM20" i="2"/>
  <c r="AL20" i="2"/>
  <c r="AK20" i="2"/>
  <c r="AJ20" i="2"/>
  <c r="U8" i="2"/>
  <c r="AJ22" i="1"/>
  <c r="AK22" i="1"/>
  <c r="AL22" i="1"/>
  <c r="AM22" i="1"/>
  <c r="AJ23" i="1"/>
  <c r="AK23" i="1"/>
  <c r="AL23" i="1"/>
  <c r="AM23" i="1"/>
  <c r="AJ24" i="1"/>
  <c r="AK24" i="1"/>
  <c r="AL24" i="1"/>
  <c r="AM24" i="1"/>
  <c r="AJ25" i="1"/>
  <c r="AK25" i="1"/>
  <c r="AL25" i="1"/>
  <c r="AM25" i="1"/>
  <c r="AN22" i="1"/>
  <c r="AO22" i="1"/>
  <c r="AN23" i="1"/>
  <c r="AO23" i="1"/>
  <c r="AN24" i="1"/>
  <c r="AO24" i="1"/>
  <c r="AN25" i="1"/>
  <c r="AO25" i="1"/>
  <c r="AO21" i="1"/>
  <c r="AN21" i="1"/>
  <c r="AK21" i="1"/>
  <c r="AL21" i="1"/>
  <c r="AM21" i="1"/>
  <c r="AJ21" i="1"/>
  <c r="M39" i="2" l="1"/>
  <c r="M46" i="2"/>
  <c r="L7" i="2"/>
  <c r="M48" i="2" s="1"/>
  <c r="M41" i="2"/>
  <c r="AD28" i="2"/>
  <c r="AD29" i="2"/>
  <c r="AD30" i="2"/>
  <c r="AD31" i="2"/>
  <c r="F20" i="1"/>
  <c r="AD32" i="2" l="1"/>
  <c r="D20" i="2" s="1"/>
  <c r="E33" i="2" s="1"/>
  <c r="U9" i="1"/>
  <c r="U8" i="1"/>
  <c r="E36" i="2" l="1"/>
  <c r="E38" i="2" s="1"/>
  <c r="E34" i="2"/>
  <c r="E37" i="2" s="1"/>
  <c r="D13" i="1"/>
  <c r="F22" i="1" s="1"/>
  <c r="D21" i="1"/>
  <c r="D27" i="1" s="1"/>
  <c r="N6" i="2" l="1"/>
  <c r="L40" i="2" s="1"/>
  <c r="F24" i="1"/>
  <c r="F26" i="1" s="1"/>
  <c r="F23" i="1"/>
  <c r="F25" i="1" s="1"/>
  <c r="N7" i="2" l="1"/>
  <c r="L47" i="2" s="1"/>
  <c r="P6" i="2"/>
  <c r="M40" i="2" s="1"/>
  <c r="F21" i="1"/>
  <c r="F27" i="1" s="1"/>
  <c r="P7" i="2" l="1"/>
  <c r="M47" i="2" s="1"/>
  <c r="H21" i="1"/>
  <c r="H27" i="1" s="1"/>
</calcChain>
</file>

<file path=xl/sharedStrings.xml><?xml version="1.0" encoding="utf-8"?>
<sst xmlns="http://schemas.openxmlformats.org/spreadsheetml/2006/main" count="151" uniqueCount="75">
  <si>
    <t>Petrol/diesel price per litre</t>
  </si>
  <si>
    <t>Petrol/diesel mpg</t>
  </si>
  <si>
    <t>Monthly mileage</t>
  </si>
  <si>
    <t>EV efficiency</t>
  </si>
  <si>
    <t>Home charge rate</t>
  </si>
  <si>
    <t>Public charge rate</t>
  </si>
  <si>
    <t>Public charging %</t>
  </si>
  <si>
    <t>£/litre</t>
  </si>
  <si>
    <t>miles per gallon</t>
  </si>
  <si>
    <t>miles</t>
  </si>
  <si>
    <t>£/kWh</t>
  </si>
  <si>
    <t>% of total charging done publically</t>
  </si>
  <si>
    <t>61kWh 2WD</t>
  </si>
  <si>
    <t>61kWh 4WD</t>
  </si>
  <si>
    <t>49kWh 2WD</t>
  </si>
  <si>
    <t>49kWh Motion</t>
  </si>
  <si>
    <t>61kWh Motion</t>
  </si>
  <si>
    <t>61kWh Ultra</t>
  </si>
  <si>
    <t>61kWh Motion ALLGRIP-e</t>
  </si>
  <si>
    <t>61kWh Ultra ALLGRIP-e</t>
  </si>
  <si>
    <t>Monthly cost</t>
  </si>
  <si>
    <t>Annual cost</t>
  </si>
  <si>
    <t>EV home charging kWh per month</t>
  </si>
  <si>
    <t>EV home charging cost</t>
  </si>
  <si>
    <t>EV public charging cost</t>
  </si>
  <si>
    <t>EV public charging kWh per month</t>
  </si>
  <si>
    <t>Current Car</t>
  </si>
  <si>
    <t>EV total kWh used per month</t>
  </si>
  <si>
    <t>CURRENT (PETROL/DIESEL CAR)</t>
  </si>
  <si>
    <t xml:space="preserve">Select variant from drop down list </t>
  </si>
  <si>
    <t>e VITARA</t>
  </si>
  <si>
    <t>Input home/public charge rate &amp; public charging %</t>
  </si>
  <si>
    <t>Input current fuel price per litre / mpg / mileage</t>
  </si>
  <si>
    <t>Saving</t>
  </si>
  <si>
    <t>Home charging</t>
  </si>
  <si>
    <t>Public charging</t>
  </si>
  <si>
    <t>miles/kWh (WLTP combined)</t>
  </si>
  <si>
    <t>"City"</t>
  </si>
  <si>
    <t>Low</t>
  </si>
  <si>
    <t>Medium</t>
  </si>
  <si>
    <t>High</t>
  </si>
  <si>
    <t>Extra High</t>
  </si>
  <si>
    <t>Combine</t>
  </si>
  <si>
    <t>Wh/km</t>
  </si>
  <si>
    <t>miles/kWh</t>
  </si>
  <si>
    <t>Input real world driving styles  %</t>
  </si>
  <si>
    <t>City</t>
  </si>
  <si>
    <t>Town</t>
  </si>
  <si>
    <t>Main Road</t>
  </si>
  <si>
    <t>Motorway</t>
  </si>
  <si>
    <t>Weighted Average</t>
  </si>
  <si>
    <t>miles/kWh (WLTP weighted average)</t>
  </si>
  <si>
    <t>miles per gallon (from trip computer)</t>
  </si>
  <si>
    <t>Make sure this = 100%</t>
  </si>
  <si>
    <t>Petrol/diesel 
price per litre</t>
  </si>
  <si>
    <t xml:space="preserve">     COST OF OWNERSHIP CALCULATOR</t>
  </si>
  <si>
    <t>Total driving %</t>
  </si>
  <si>
    <t>Urban %</t>
  </si>
  <si>
    <t>Suburban/town %</t>
  </si>
  <si>
    <t>Out of town %</t>
  </si>
  <si>
    <t>Motorway %</t>
  </si>
  <si>
    <t>All e Vitara figures are estimated based on WLTP energy consumption data and may not reflect real-life driving results, which will depend upon a number of factors including  battery state of charge, accessories fitted (post-registration), weather conditions, driving styles and vehicle load.</t>
  </si>
  <si>
    <t>% of total driving done in 
towns / villages</t>
  </si>
  <si>
    <t>% of total driving on main 
A/B roads / dual carriageways</t>
  </si>
  <si>
    <t>% of total driving done in 
central cities</t>
  </si>
  <si>
    <t>% of total driving on 
motorways</t>
  </si>
  <si>
    <t>4.2 miles/kWh</t>
  </si>
  <si>
    <t>4.1 miles/kWh</t>
  </si>
  <si>
    <t>3.7 miles/kWh</t>
  </si>
  <si>
    <t>Energy consumption (WLTP combined)</t>
  </si>
  <si>
    <t>current car</t>
  </si>
  <si>
    <t>saving</t>
  </si>
  <si>
    <t>£/kWh (e.g. £0.07)</t>
  </si>
  <si>
    <t>£/kWh (e.g. £0.45)</t>
  </si>
  <si>
    <t>% of total charging done publicly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</si>
</sst>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_);[Red]\(&quot;£&quot;#,##0.00\)"/>
    <numFmt numFmtId="165" formatCode="&quot;£&quot;#,##0"/>
    <numFmt numFmtId="166" formatCode="0.0"/>
    <numFmt numFmtId="167" formatCode="&quot;£&quot;#,##0.00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26"/>
      <color theme="1"/>
      <name val="SuzukiPROHeadline"/>
      <family val="2"/>
    </font>
    <font>
      <b/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8.5"/>
      <color theme="0"/>
      <name val="Aptos Narrow"/>
      <family val="2"/>
      <scheme val="minor"/>
    </font>
    <font>
      <b/>
      <sz val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 style="thin">
        <color indexed="64"/>
      </right>
      <top style="mediumDashed">
        <color rgb="FFC00000"/>
      </top>
      <bottom style="mediumDashed">
        <color rgb="FFC00000"/>
      </bottom>
      <diagonal/>
    </border>
    <border>
      <left style="thin">
        <color indexed="64"/>
      </left>
      <right style="thin">
        <color indexed="64"/>
      </right>
      <top style="mediumDashed">
        <color rgb="FFC00000"/>
      </top>
      <bottom style="mediumDashed">
        <color rgb="FFC00000"/>
      </bottom>
      <diagonal/>
    </border>
    <border>
      <left style="thin">
        <color indexed="64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rgb="FFC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  <xf numFmtId="0" fontId="0" fillId="0" borderId="9" xfId="0" applyBorder="1"/>
    <xf numFmtId="9" fontId="0" fillId="0" borderId="0" xfId="0" applyNumberForma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Continuous" vertical="center" wrapText="1"/>
    </xf>
    <xf numFmtId="0" fontId="9" fillId="0" borderId="24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 vertical="center" wrapText="1"/>
    </xf>
    <xf numFmtId="0" fontId="9" fillId="0" borderId="16" xfId="0" applyFont="1" applyBorder="1" applyAlignment="1">
      <alignment horizontal="centerContinuous"/>
    </xf>
    <xf numFmtId="0" fontId="8" fillId="0" borderId="33" xfId="0" applyFont="1" applyBorder="1" applyAlignment="1">
      <alignment horizontal="centerContinuous" vertical="center" wrapText="1"/>
    </xf>
    <xf numFmtId="0" fontId="9" fillId="0" borderId="19" xfId="0" applyFont="1" applyBorder="1" applyAlignment="1">
      <alignment horizontal="centerContinuous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8" fillId="0" borderId="3" xfId="0" applyFont="1" applyBorder="1" applyAlignment="1">
      <alignment horizontal="centerContinuous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 vertical="center" wrapText="1"/>
    </xf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8" xfId="0" applyFont="1" applyBorder="1"/>
    <xf numFmtId="0" fontId="9" fillId="0" borderId="6" xfId="0" applyFont="1" applyBorder="1"/>
    <xf numFmtId="0" fontId="9" fillId="0" borderId="44" xfId="0" applyFont="1" applyBorder="1"/>
    <xf numFmtId="0" fontId="9" fillId="0" borderId="41" xfId="0" applyFont="1" applyBorder="1" applyAlignment="1">
      <alignment horizontal="center" vertical="center" wrapText="1"/>
    </xf>
    <xf numFmtId="0" fontId="9" fillId="0" borderId="45" xfId="0" applyFont="1" applyBorder="1"/>
    <xf numFmtId="0" fontId="6" fillId="3" borderId="1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vertical="center" wrapText="1"/>
    </xf>
    <xf numFmtId="0" fontId="8" fillId="0" borderId="50" xfId="0" applyFont="1" applyBorder="1" applyAlignment="1">
      <alignment horizontal="centerContinuous" vertical="center" wrapText="1"/>
    </xf>
    <xf numFmtId="0" fontId="0" fillId="7" borderId="5" xfId="0" applyFill="1" applyBorder="1"/>
    <xf numFmtId="0" fontId="0" fillId="7" borderId="6" xfId="0" applyFill="1" applyBorder="1"/>
    <xf numFmtId="0" fontId="0" fillId="7" borderId="8" xfId="0" applyFill="1" applyBorder="1"/>
    <xf numFmtId="0" fontId="0" fillId="7" borderId="7" xfId="0" applyFill="1" applyBorder="1"/>
    <xf numFmtId="0" fontId="0" fillId="7" borderId="0" xfId="0" applyFill="1"/>
    <xf numFmtId="0" fontId="0" fillId="7" borderId="9" xfId="0" applyFill="1" applyBorder="1"/>
    <xf numFmtId="0" fontId="1" fillId="7" borderId="7" xfId="0" applyFont="1" applyFill="1" applyBorder="1"/>
    <xf numFmtId="0" fontId="1" fillId="7" borderId="0" xfId="0" applyFont="1" applyFill="1"/>
    <xf numFmtId="0" fontId="1" fillId="7" borderId="9" xfId="0" applyFont="1" applyFill="1" applyBorder="1"/>
    <xf numFmtId="0" fontId="0" fillId="7" borderId="10" xfId="0" applyFill="1" applyBorder="1"/>
    <xf numFmtId="0" fontId="0" fillId="7" borderId="11" xfId="0" applyFill="1" applyBorder="1"/>
    <xf numFmtId="0" fontId="1" fillId="7" borderId="11" xfId="0" applyFont="1" applyFill="1" applyBorder="1"/>
    <xf numFmtId="0" fontId="0" fillId="7" borderId="12" xfId="0" applyFill="1" applyBorder="1"/>
    <xf numFmtId="0" fontId="8" fillId="4" borderId="39" xfId="0" applyFont="1" applyFill="1" applyBorder="1" applyAlignment="1">
      <alignment horizontal="centerContinuous" vertical="center" wrapText="1"/>
    </xf>
    <xf numFmtId="0" fontId="9" fillId="4" borderId="45" xfId="0" applyFont="1" applyFill="1" applyBorder="1" applyAlignment="1">
      <alignment horizontal="centerContinuous"/>
    </xf>
    <xf numFmtId="0" fontId="0" fillId="0" borderId="52" xfId="0" applyBorder="1"/>
    <xf numFmtId="0" fontId="0" fillId="5" borderId="51" xfId="0" applyFill="1" applyBorder="1"/>
    <xf numFmtId="0" fontId="0" fillId="5" borderId="52" xfId="0" applyFill="1" applyBorder="1"/>
    <xf numFmtId="0" fontId="0" fillId="5" borderId="52" xfId="0" applyFill="1" applyBorder="1" applyAlignment="1">
      <alignment horizontal="center"/>
    </xf>
    <xf numFmtId="0" fontId="11" fillId="5" borderId="52" xfId="0" applyFont="1" applyFill="1" applyBorder="1" applyAlignment="1">
      <alignment horizontal="left" vertical="center"/>
    </xf>
    <xf numFmtId="0" fontId="11" fillId="5" borderId="46" xfId="0" applyFont="1" applyFill="1" applyBorder="1" applyAlignment="1">
      <alignment horizontal="center" vertical="center"/>
    </xf>
    <xf numFmtId="0" fontId="0" fillId="5" borderId="49" xfId="0" applyFill="1" applyBorder="1"/>
    <xf numFmtId="0" fontId="11" fillId="5" borderId="46" xfId="0" applyFont="1" applyFill="1" applyBorder="1" applyAlignment="1">
      <alignment horizontal="right" vertical="center"/>
    </xf>
    <xf numFmtId="0" fontId="0" fillId="8" borderId="0" xfId="0" applyFill="1"/>
    <xf numFmtId="0" fontId="1" fillId="8" borderId="0" xfId="0" applyFont="1" applyFill="1"/>
    <xf numFmtId="0" fontId="0" fillId="8" borderId="0" xfId="0" applyFill="1" applyAlignment="1">
      <alignment horizontal="center"/>
    </xf>
    <xf numFmtId="9" fontId="0" fillId="8" borderId="0" xfId="0" applyNumberForma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0" fillId="8" borderId="0" xfId="0" applyFont="1" applyFill="1"/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166" fontId="1" fillId="8" borderId="1" xfId="0" applyNumberFormat="1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166" fontId="0" fillId="8" borderId="0" xfId="0" applyNumberFormat="1" applyFill="1" applyAlignment="1">
      <alignment horizontal="center"/>
    </xf>
    <xf numFmtId="166" fontId="1" fillId="8" borderId="0" xfId="0" applyNumberFormat="1" applyFont="1" applyFill="1" applyAlignment="1">
      <alignment horizontal="center"/>
    </xf>
    <xf numFmtId="0" fontId="7" fillId="8" borderId="15" xfId="0" applyFont="1" applyFill="1" applyBorder="1" applyAlignment="1">
      <alignment vertical="center"/>
    </xf>
    <xf numFmtId="165" fontId="7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165" fontId="6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/>
    <xf numFmtId="165" fontId="4" fillId="8" borderId="1" xfId="0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7" fillId="8" borderId="1" xfId="0" applyFont="1" applyFill="1" applyBorder="1" applyAlignment="1">
      <alignment horizontal="center" vertical="center"/>
    </xf>
    <xf numFmtId="9" fontId="1" fillId="4" borderId="39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165" fontId="0" fillId="8" borderId="0" xfId="0" applyNumberFormat="1" applyFill="1"/>
    <xf numFmtId="0" fontId="1" fillId="2" borderId="28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9" fontId="1" fillId="2" borderId="28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7" fillId="3" borderId="14" xfId="0" applyFont="1" applyFill="1" applyBorder="1"/>
    <xf numFmtId="165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165" fontId="6" fillId="0" borderId="18" xfId="0" applyNumberFormat="1" applyFont="1" applyBorder="1" applyAlignment="1">
      <alignment horizontal="center" vertical="center"/>
    </xf>
    <xf numFmtId="0" fontId="7" fillId="0" borderId="18" xfId="0" applyFont="1" applyBorder="1"/>
    <xf numFmtId="0" fontId="7" fillId="3" borderId="22" xfId="0" applyFont="1" applyFill="1" applyBorder="1"/>
    <xf numFmtId="165" fontId="4" fillId="0" borderId="1" xfId="0" applyNumberFormat="1" applyFont="1" applyBorder="1" applyAlignment="1">
      <alignment horizontal="center" vertical="center"/>
    </xf>
    <xf numFmtId="0" fontId="5" fillId="0" borderId="16" xfId="0" applyFont="1" applyBorder="1"/>
    <xf numFmtId="165" fontId="4" fillId="0" borderId="18" xfId="0" applyNumberFormat="1" applyFont="1" applyBorder="1" applyAlignment="1">
      <alignment horizontal="center" vertical="center"/>
    </xf>
    <xf numFmtId="0" fontId="5" fillId="0" borderId="19" xfId="0" applyFont="1" applyBorder="1"/>
    <xf numFmtId="0" fontId="7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5" fontId="6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/>
    <xf numFmtId="0" fontId="6" fillId="6" borderId="0" xfId="0" applyFont="1" applyFill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6" borderId="12" xfId="0" applyFill="1" applyBorder="1"/>
    <xf numFmtId="0" fontId="6" fillId="3" borderId="5" xfId="0" applyFont="1" applyFill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27" xfId="0" applyBorder="1" applyAlignment="1">
      <alignment wrapText="1"/>
    </xf>
    <xf numFmtId="0" fontId="6" fillId="3" borderId="47" xfId="0" applyFont="1" applyFill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4" xfId="0" applyBorder="1" applyAlignment="1">
      <alignment wrapText="1"/>
    </xf>
    <xf numFmtId="9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167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3" fillId="6" borderId="5" xfId="0" applyFont="1" applyFill="1" applyBorder="1" applyAlignment="1">
      <alignment horizontal="center" vertical="center" wrapText="1"/>
    </xf>
    <xf numFmtId="0" fontId="13" fillId="0" borderId="6" xfId="0" applyFont="1" applyBorder="1"/>
    <xf numFmtId="0" fontId="13" fillId="0" borderId="8" xfId="0" applyFont="1" applyBorder="1"/>
    <xf numFmtId="0" fontId="15" fillId="10" borderId="1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7" fillId="11" borderId="16" xfId="0" applyFont="1" applyFill="1" applyBorder="1" applyAlignment="1">
      <alignment horizontal="center"/>
    </xf>
    <xf numFmtId="9" fontId="1" fillId="4" borderId="38" xfId="0" applyNumberFormat="1" applyFont="1" applyFill="1" applyBorder="1" applyAlignment="1">
      <alignment horizontal="center" vertical="center" wrapText="1"/>
    </xf>
    <xf numFmtId="9" fontId="1" fillId="4" borderId="4" xfId="0" applyNumberFormat="1" applyFont="1" applyFill="1" applyBorder="1" applyAlignment="1">
      <alignment horizontal="center" vertical="center" wrapText="1"/>
    </xf>
    <xf numFmtId="9" fontId="1" fillId="2" borderId="34" xfId="0" applyNumberFormat="1" applyFont="1" applyFill="1" applyBorder="1" applyAlignment="1" applyProtection="1">
      <alignment horizontal="center" vertical="center" wrapText="1"/>
      <protection locked="0"/>
    </xf>
    <xf numFmtId="9" fontId="1" fillId="2" borderId="35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38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99CC"/>
      <color rgb="FFEAEAEA"/>
      <color rgb="FF4C9D2B"/>
      <color rgb="FF83E28E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04-4C89-8E56-EF8D762CE9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04-4C89-8E56-EF8D762CE9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SuzukiPROBold" panose="020B05030500000200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Sheet1!$T$8:$T$9</c:f>
              <c:strCache>
                <c:ptCount val="2"/>
                <c:pt idx="0">
                  <c:v>Home charging</c:v>
                </c:pt>
                <c:pt idx="1">
                  <c:v>Public charging</c:v>
                </c:pt>
              </c:strCache>
            </c:strRef>
          </c:cat>
          <c:val>
            <c:numRef>
              <c:f>Sheet1!$U$8:$U$9</c:f>
              <c:numCache>
                <c:formatCode>0%</c:formatCode>
                <c:ptCount val="2"/>
                <c:pt idx="0">
                  <c:v>0.9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A-4869-A48C-CA40FB377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953254216441956"/>
          <c:y val="0.38835392242636335"/>
          <c:w val="0.29661424800581349"/>
          <c:h val="0.33915204556950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SuzukiPROBold" panose="020B0503050000020004" pitchFamily="34" charset="0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uzukiPROBold" panose="020B050305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ysClr val="windowText" lastClr="000000"/>
                </a:solidFill>
                <a:latin typeface="SuzukiPROBold" panose="020B0503050000020004" pitchFamily="34" charset="0"/>
                <a:ea typeface="+mn-ea"/>
                <a:cs typeface="+mn-cs"/>
              </a:defRPr>
            </a:pPr>
            <a:r>
              <a:rPr lang="en-GB" u="sng">
                <a:solidFill>
                  <a:sysClr val="windowText" lastClr="000000"/>
                </a:solidFill>
              </a:rPr>
              <a:t>Monthly</a:t>
            </a:r>
            <a:r>
              <a:rPr lang="en-GB" u="sng" baseline="0">
                <a:solidFill>
                  <a:sysClr val="windowText" lastClr="000000"/>
                </a:solidFill>
              </a:rPr>
              <a:t> Cost</a:t>
            </a:r>
            <a:endParaRPr lang="en-GB" u="sng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9836359787003774"/>
          <c:y val="5.39325969937413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ysClr val="windowText" lastClr="000000"/>
              </a:solidFill>
              <a:latin typeface="SuzukiPROBold" panose="020B0503050000020004" pitchFamily="34" charset="0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Sheet1!$D$20</c:f>
              <c:strCache>
                <c:ptCount val="1"/>
                <c:pt idx="0">
                  <c:v>Current Car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SuzukiPROBold" panose="020B05030500000200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(Sheet1!$C$21,Sheet1!$C$27)</c15:sqref>
                  </c15:fullRef>
                </c:ext>
              </c:extLst>
              <c:f>Sheet1!$C$21</c:f>
              <c:strCache>
                <c:ptCount val="1"/>
                <c:pt idx="0">
                  <c:v>Monthly cost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(Sheet1!$D$21,Sheet1!$D$27)</c15:sqref>
                  </c15:fullRef>
                </c:ext>
              </c:extLst>
              <c:f>Sheet1!$D$21</c:f>
              <c:numCache>
                <c:formatCode>"£"#,##0</c:formatCode>
                <c:ptCount val="1"/>
                <c:pt idx="0">
                  <c:v>105.31775166666667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A-467F-BDD7-AA081A705FD5}"/>
            </c:ext>
          </c:extLst>
        </c:ser>
        <c:ser>
          <c:idx val="2"/>
          <c:order val="1"/>
          <c:tx>
            <c:strRef>
              <c:f>Sheet1!$F$20</c:f>
              <c:strCache>
                <c:ptCount val="1"/>
                <c:pt idx="0">
                  <c:v>e Vitara 61kWh Motion ALLGRIP-e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bg1"/>
                    </a:solidFill>
                    <a:latin typeface="SuzukiPROBold" panose="020B05030500000200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(Sheet1!$C$21,Sheet1!$C$27)</c15:sqref>
                  </c15:fullRef>
                </c:ext>
              </c:extLst>
              <c:f>Sheet1!$C$21</c:f>
              <c:strCache>
                <c:ptCount val="1"/>
                <c:pt idx="0">
                  <c:v>Monthly cost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(Sheet1!$F$21,Sheet1!$F$27)</c15:sqref>
                  </c15:fullRef>
                </c:ext>
              </c:extLst>
              <c:f>Sheet1!$F$21</c:f>
              <c:numCache>
                <c:formatCode>"£"#,##0</c:formatCode>
                <c:ptCount val="1"/>
                <c:pt idx="0">
                  <c:v>27.675675675675677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FA-467F-BDD7-AA081A705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3722687"/>
        <c:axId val="1973706367"/>
      </c:barChart>
      <c:catAx>
        <c:axId val="197372268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73706367"/>
        <c:crosses val="autoZero"/>
        <c:auto val="1"/>
        <c:lblAlgn val="ctr"/>
        <c:lblOffset val="100"/>
        <c:noMultiLvlLbl val="0"/>
      </c:catAx>
      <c:valAx>
        <c:axId val="1973706367"/>
        <c:scaling>
          <c:orientation val="minMax"/>
        </c:scaling>
        <c:delete val="1"/>
        <c:axPos val="l"/>
        <c:numFmt formatCode="&quot;£&quot;#,##0" sourceLinked="1"/>
        <c:majorTickMark val="none"/>
        <c:minorTickMark val="none"/>
        <c:tickLblPos val="nextTo"/>
        <c:crossAx val="1973722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uzukiPROBold" panose="020B050305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uzukiPROBold" panose="020B0503050000020004" pitchFamily="34" charset="0"/>
                <a:ea typeface="+mn-ea"/>
                <a:cs typeface="+mn-cs"/>
              </a:defRPr>
            </a:pPr>
            <a:r>
              <a:rPr lang="en-GB" u="sng">
                <a:solidFill>
                  <a:sysClr val="windowText" lastClr="000000"/>
                </a:solidFill>
              </a:rPr>
              <a:t>Annual Cost</a:t>
            </a:r>
          </a:p>
        </c:rich>
      </c:tx>
      <c:layout>
        <c:manualLayout>
          <c:xMode val="edge"/>
          <c:yMode val="edge"/>
          <c:x val="0.49452472642435746"/>
          <c:y val="3.1249961801346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uzukiPROBold" panose="020B05030500000200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011870215332275"/>
          <c:y val="0.22396396396396395"/>
          <c:w val="0.52241101441109794"/>
          <c:h val="0.57180913196661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Sheet1!$D$20</c:f>
              <c:strCache>
                <c:ptCount val="1"/>
                <c:pt idx="0">
                  <c:v>Current Car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SuzukiPROBold" panose="020B05030500000200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(Sheet1!$C$21,Sheet1!$C$27)</c15:sqref>
                  </c15:fullRef>
                </c:ext>
              </c:extLst>
              <c:f>Sheet1!$C$27</c:f>
              <c:strCache>
                <c:ptCount val="1"/>
                <c:pt idx="0">
                  <c:v>Annual cost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(Sheet1!$D$21,Sheet1!$D$27)</c15:sqref>
                  </c15:fullRef>
                </c:ext>
              </c:extLst>
              <c:f>Sheet1!$D$27</c:f>
              <c:numCache>
                <c:formatCode>"£"#,##0</c:formatCode>
                <c:ptCount val="1"/>
                <c:pt idx="0">
                  <c:v>1263.8130200000001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6-42A6-8BF0-6306FAAF1D54}"/>
            </c:ext>
          </c:extLst>
        </c:ser>
        <c:ser>
          <c:idx val="2"/>
          <c:order val="1"/>
          <c:tx>
            <c:strRef>
              <c:f>Sheet1!$F$20</c:f>
              <c:strCache>
                <c:ptCount val="1"/>
                <c:pt idx="0">
                  <c:v>e Vitara 61kWh Motion ALLGRIP-e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bg1"/>
                    </a:solidFill>
                    <a:latin typeface="SuzukiPROBold" panose="020B05030500000200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(Sheet1!$C$21,Sheet1!$C$27)</c15:sqref>
                  </c15:fullRef>
                </c:ext>
              </c:extLst>
              <c:f>Sheet1!$C$27</c:f>
              <c:strCache>
                <c:ptCount val="1"/>
                <c:pt idx="0">
                  <c:v>Annual cost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(Sheet1!$F$21,Sheet1!$F$27)</c15:sqref>
                  </c15:fullRef>
                </c:ext>
              </c:extLst>
              <c:f>Sheet1!$F$27</c:f>
              <c:numCache>
                <c:formatCode>"£"#,##0</c:formatCode>
                <c:ptCount val="1"/>
                <c:pt idx="0">
                  <c:v>332.10810810810813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26-42A6-8BF0-6306FAAF1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3722687"/>
        <c:axId val="1973706367"/>
      </c:barChart>
      <c:catAx>
        <c:axId val="197372268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73706367"/>
        <c:crosses val="autoZero"/>
        <c:auto val="1"/>
        <c:lblAlgn val="ctr"/>
        <c:lblOffset val="100"/>
        <c:noMultiLvlLbl val="0"/>
      </c:catAx>
      <c:valAx>
        <c:axId val="1973706367"/>
        <c:scaling>
          <c:orientation val="minMax"/>
        </c:scaling>
        <c:delete val="1"/>
        <c:axPos val="l"/>
        <c:numFmt formatCode="&quot;£&quot;#,##0" sourceLinked="1"/>
        <c:majorTickMark val="none"/>
        <c:minorTickMark val="none"/>
        <c:tickLblPos val="nextTo"/>
        <c:crossAx val="1973722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587685752656713E-2"/>
          <c:y val="0.88065484032394781"/>
          <c:w val="0.92921061241276171"/>
          <c:h val="8.8216755006791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SuzukiPROBold" panose="020B05030500000200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uzukiPROBold" panose="020B050305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uzukiPROBold" panose="020B0503050000020004" pitchFamily="34" charset="0"/>
                <a:ea typeface="+mn-ea"/>
                <a:cs typeface="+mn-cs"/>
              </a:defRPr>
            </a:pPr>
            <a:r>
              <a:rPr lang="en-GB" u="sng">
                <a:solidFill>
                  <a:sysClr val="windowText" lastClr="000000"/>
                </a:solidFill>
              </a:rPr>
              <a:t>Monthly Cost</a:t>
            </a:r>
          </a:p>
        </c:rich>
      </c:tx>
      <c:layout>
        <c:manualLayout>
          <c:xMode val="edge"/>
          <c:yMode val="edge"/>
          <c:x val="7.7143520051797798E-4"/>
          <c:y val="8.458876899013263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uzukiPROBold" panose="020B05030500000200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6663428220023743E-3"/>
          <c:y val="0.22396396396396395"/>
          <c:w val="0.99674960180828331"/>
          <c:h val="0.776036011463376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 Vitara Cost of Ownership Calc'!$L$39</c:f>
              <c:strCache>
                <c:ptCount val="1"/>
                <c:pt idx="0">
                  <c:v>current car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876-43CB-93C4-93837B28E55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876-43CB-93C4-93837B28E55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SuzukiPROBold" panose="020B05030500000200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76-43CB-93C4-93837B28E5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uzukiPROBold" panose="020B05030500000200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 Vitara Cost of Ownership Calc'!$L$40:$L$41</c:f>
              <c:numCache>
                <c:formatCode>General</c:formatCode>
                <c:ptCount val="2"/>
                <c:pt idx="0" formatCode="&quot;£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76-43CB-93C4-93837B28E55A}"/>
            </c:ext>
          </c:extLst>
        </c:ser>
        <c:ser>
          <c:idx val="1"/>
          <c:order val="1"/>
          <c:tx>
            <c:strRef>
              <c:f>'e Vitara Cost of Ownership Calc'!$M$39</c:f>
              <c:strCache>
                <c:ptCount val="1"/>
                <c:pt idx="0">
                  <c:v>e Vitara 61kWh Ultra ALLGRIP-e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76-43CB-93C4-93837B28E55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76-43CB-93C4-93837B28E55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uzukiPROBold" panose="020B05030500000200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76-43CB-93C4-93837B28E55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SuzukiPROBold" panose="020B05030500000200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76-43CB-93C4-93837B28E5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uzukiPROBold" panose="020B05030500000200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 Vitara Cost of Ownership Calc'!$M$40:$M$41</c:f>
              <c:numCache>
                <c:formatCode>"£"#,##0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76-43CB-93C4-93837B28E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1973722687"/>
        <c:axId val="1973706367"/>
      </c:barChart>
      <c:catAx>
        <c:axId val="19737226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3706367"/>
        <c:crosses val="autoZero"/>
        <c:auto val="1"/>
        <c:lblAlgn val="ctr"/>
        <c:lblOffset val="100"/>
        <c:noMultiLvlLbl val="0"/>
      </c:catAx>
      <c:valAx>
        <c:axId val="1973706367"/>
        <c:scaling>
          <c:orientation val="minMax"/>
          <c:max val="300"/>
        </c:scaling>
        <c:delete val="1"/>
        <c:axPos val="b"/>
        <c:numFmt formatCode="&quot;£&quot;#,##0" sourceLinked="1"/>
        <c:majorTickMark val="out"/>
        <c:minorTickMark val="none"/>
        <c:tickLblPos val="nextTo"/>
        <c:crossAx val="1973722687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uzukiPROBold" panose="020B050305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uzukiPROBold" panose="020B0503050000020004" pitchFamily="34" charset="0"/>
                <a:ea typeface="+mn-ea"/>
                <a:cs typeface="+mn-cs"/>
              </a:defRPr>
            </a:pPr>
            <a:r>
              <a:rPr lang="en-GB" u="sng">
                <a:solidFill>
                  <a:sysClr val="windowText" lastClr="000000"/>
                </a:solidFill>
              </a:rPr>
              <a:t>Annual Cost</a:t>
            </a:r>
          </a:p>
        </c:rich>
      </c:tx>
      <c:layout>
        <c:manualLayout>
          <c:xMode val="edge"/>
          <c:yMode val="edge"/>
          <c:x val="7.7143520051797798E-4"/>
          <c:y val="3.90647560127613E-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uzukiPROBold" panose="020B05030500000200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6663428220023743E-3"/>
          <c:y val="0.22396396396396395"/>
          <c:w val="0.99696892882529109"/>
          <c:h val="0.776036011463376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 Vitara Cost of Ownership Calc'!$L$39</c:f>
              <c:strCache>
                <c:ptCount val="1"/>
                <c:pt idx="0">
                  <c:v>current car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3E-4BEC-8286-1CA85BC49EE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3E-4BEC-8286-1CA85BC49E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SuzukiPROBold" panose="020B05030500000200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 Vitara Cost of Ownership Calc'!$L$47:$L$48</c:f>
              <c:numCache>
                <c:formatCode>General</c:formatCode>
                <c:ptCount val="2"/>
                <c:pt idx="0" formatCode="&quot;£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3E-4BEC-8286-1CA85BC49EE3}"/>
            </c:ext>
          </c:extLst>
        </c:ser>
        <c:ser>
          <c:idx val="1"/>
          <c:order val="1"/>
          <c:tx>
            <c:strRef>
              <c:f>'e Vitara Cost of Ownership Calc'!$M$39</c:f>
              <c:strCache>
                <c:ptCount val="1"/>
                <c:pt idx="0">
                  <c:v>e Vitara 61kWh Ultra ALLGRIP-e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93E-4BEC-8286-1CA85BC49EE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3E-4BEC-8286-1CA85BC49EE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SuzukiPROBold" panose="020B05030500000200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3E-4BEC-8286-1CA85BC49E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uzukiPROBold" panose="020B05030500000200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 Vitara Cost of Ownership Calc'!$M$47:$M$48</c:f>
              <c:numCache>
                <c:formatCode>"£"#,##0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3E-4BEC-8286-1CA85BC4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1973722687"/>
        <c:axId val="1973706367"/>
      </c:barChart>
      <c:catAx>
        <c:axId val="19737226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3706367"/>
        <c:crosses val="autoZero"/>
        <c:auto val="1"/>
        <c:lblAlgn val="ctr"/>
        <c:lblOffset val="100"/>
        <c:noMultiLvlLbl val="0"/>
      </c:catAx>
      <c:valAx>
        <c:axId val="1973706367"/>
        <c:scaling>
          <c:orientation val="minMax"/>
        </c:scaling>
        <c:delete val="1"/>
        <c:axPos val="b"/>
        <c:numFmt formatCode="&quot;£&quot;#,##0" sourceLinked="1"/>
        <c:majorTickMark val="out"/>
        <c:minorTickMark val="none"/>
        <c:tickLblPos val="nextTo"/>
        <c:crossAx val="1973722687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uzukiPROBold" panose="020B050305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73027</xdr:colOff>
      <xdr:row>16</xdr:row>
      <xdr:rowOff>0</xdr:rowOff>
    </xdr:from>
    <xdr:to>
      <xdr:col>17</xdr:col>
      <xdr:colOff>73025</xdr:colOff>
      <xdr:row>28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16C71B-DCD8-4AED-0539-CE22C2E0D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495300</xdr:colOff>
      <xdr:row>5</xdr:row>
      <xdr:rowOff>204788</xdr:rowOff>
    </xdr:from>
    <xdr:to>
      <xdr:col>13</xdr:col>
      <xdr:colOff>319088</xdr:colOff>
      <xdr:row>13</xdr:row>
      <xdr:rowOff>36512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F87FFA-76BC-A6AD-A952-848495599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857251</xdr:colOff>
      <xdr:row>5</xdr:row>
      <xdr:rowOff>250824</xdr:rowOff>
    </xdr:from>
    <xdr:to>
      <xdr:col>17</xdr:col>
      <xdr:colOff>595312</xdr:colOff>
      <xdr:row>14</xdr:row>
      <xdr:rowOff>260349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783428-9221-47CE-A1A9-3437E98AE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46265</xdr:colOff>
      <xdr:row>1</xdr:row>
      <xdr:rowOff>152400</xdr:rowOff>
    </xdr:from>
    <xdr:to>
      <xdr:col>10</xdr:col>
      <xdr:colOff>457200</xdr:colOff>
      <xdr:row>1</xdr:row>
      <xdr:rowOff>328025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B0BF64-CC2E-6CDC-7C05-6B2EA981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640" y="190500"/>
          <a:ext cx="2754085" cy="17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502052</xdr:colOff>
      <xdr:row>1</xdr:row>
      <xdr:rowOff>36288</xdr:rowOff>
    </xdr:from>
    <xdr:to>
      <xdr:col>17</xdr:col>
      <xdr:colOff>517072</xdr:colOff>
      <xdr:row>2</xdr:row>
      <xdr:rowOff>44728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01EA59-DA22-CEAB-47F1-A27281AA27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9" b="20851"/>
        <a:stretch>
          <a:fillRect/>
        </a:stretch>
      </xdr:blipFill>
      <xdr:spPr bwMode="auto">
        <a:xfrm>
          <a:off x="13038766" y="72574"/>
          <a:ext cx="2509663" cy="46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89647</xdr:colOff>
      <xdr:row>8</xdr:row>
      <xdr:rowOff>47625</xdr:rowOff>
    </xdr:from>
    <xdr:to>
      <xdr:col>16</xdr:col>
      <xdr:colOff>685799</xdr:colOff>
      <xdr:row>15</xdr:row>
      <xdr:rowOff>312259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7A83EE9D-257C-4D31-BD56-DE926A6A1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85725</xdr:colOff>
      <xdr:row>16</xdr:row>
      <xdr:rowOff>257175</xdr:rowOff>
    </xdr:from>
    <xdr:to>
      <xdr:col>16</xdr:col>
      <xdr:colOff>691403</xdr:colOff>
      <xdr:row>24</xdr:row>
      <xdr:rowOff>140809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0DBC848D-63E6-44DF-96E1-523402A58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GD">
      <a:dk1>
        <a:srgbClr val="000000"/>
      </a:dk1>
      <a:lt1>
        <a:srgbClr val="FFFFFF"/>
      </a:lt1>
      <a:dk2>
        <a:srgbClr val="2E9430"/>
      </a:dk2>
      <a:lt2>
        <a:srgbClr val="79FF43"/>
      </a:lt2>
      <a:accent1>
        <a:srgbClr val="CB0050"/>
      </a:accent1>
      <a:accent2>
        <a:srgbClr val="FF97FA"/>
      </a:accent2>
      <a:accent3>
        <a:srgbClr val="E84600"/>
      </a:accent3>
      <a:accent4>
        <a:srgbClr val="FFEE27"/>
      </a:accent4>
      <a:accent5>
        <a:srgbClr val="008791"/>
      </a:accent5>
      <a:accent6>
        <a:srgbClr val="81FFAD"/>
      </a:accent6>
      <a:hlink>
        <a:srgbClr val="375FF0"/>
      </a:hlink>
      <a:folHlink>
        <a:srgbClr val="59D3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5467F-8E3C-4D4B-A028-D04D047A2FF5}">
  <dimension ref="B1:AO29"/>
  <sheetViews>
    <sheetView showGridLines="0" zoomScale="120" zoomScaleNormal="120" zoomScaleSheetLayoutView="100" workbookViewId="0">
      <selection activeCell="C12" sqref="C12:E12"/>
    </sheetView>
  </sheetViews>
  <sheetFormatPr defaultRowHeight="15" x14ac:dyDescent="0.25"/>
  <cols>
    <col min="1" max="1" width="3.42578125" customWidth="1"/>
    <col min="3" max="3" width="18.28515625" customWidth="1"/>
    <col min="4" max="4" width="9.140625" style="1"/>
    <col min="5" max="5" width="18.28515625" style="1" customWidth="1"/>
    <col min="6" max="6" width="9.140625" style="1" customWidth="1"/>
    <col min="7" max="7" width="18.28515625" customWidth="1"/>
    <col min="8" max="8" width="9.140625" customWidth="1"/>
    <col min="9" max="9" width="18.28515625" style="1" customWidth="1"/>
    <col min="10" max="10" width="9.140625" customWidth="1"/>
    <col min="14" max="14" width="9.140625" customWidth="1"/>
    <col min="20" max="20" width="14.85546875" customWidth="1"/>
    <col min="21" max="21" width="11.28515625" customWidth="1"/>
    <col min="22" max="22" width="9.140625" customWidth="1"/>
    <col min="23" max="23" width="23" customWidth="1"/>
    <col min="24" max="24" width="4" customWidth="1"/>
    <col min="28" max="28" width="23.140625" bestFit="1" customWidth="1"/>
    <col min="29" max="34" width="9.5703125" style="1" customWidth="1"/>
  </cols>
  <sheetData>
    <row r="1" spans="2:24" ht="15.75" thickBot="1" x14ac:dyDescent="0.3">
      <c r="B1" s="7"/>
      <c r="C1" s="7"/>
      <c r="D1" s="8"/>
      <c r="E1" s="8"/>
      <c r="F1" s="8"/>
      <c r="G1" s="7"/>
      <c r="H1" s="7"/>
      <c r="I1" s="8"/>
    </row>
    <row r="2" spans="2:24" x14ac:dyDescent="0.25">
      <c r="B2" s="6"/>
      <c r="C2" s="7"/>
      <c r="D2" s="8"/>
      <c r="E2" s="8"/>
      <c r="F2" s="8"/>
      <c r="G2" s="7"/>
      <c r="H2" s="7"/>
      <c r="I2" s="8"/>
      <c r="J2" s="7"/>
      <c r="K2" s="7"/>
      <c r="L2" s="7"/>
      <c r="M2" s="7"/>
      <c r="N2" s="7"/>
      <c r="O2" s="7"/>
      <c r="P2" s="7"/>
      <c r="Q2" s="7"/>
      <c r="R2" s="10"/>
    </row>
    <row r="3" spans="2:24" ht="15.75" thickBot="1" x14ac:dyDescent="0.3">
      <c r="B3" s="9"/>
      <c r="C3" s="2"/>
      <c r="D3" s="11"/>
      <c r="E3" s="11"/>
      <c r="F3" s="11"/>
      <c r="R3" s="12"/>
    </row>
    <row r="4" spans="2:24" x14ac:dyDescent="0.25">
      <c r="B4" s="9"/>
      <c r="C4" s="116" t="s">
        <v>28</v>
      </c>
      <c r="D4" s="117"/>
      <c r="E4" s="118"/>
      <c r="F4" s="22"/>
      <c r="R4" s="12"/>
    </row>
    <row r="5" spans="2:24" ht="12" customHeight="1" thickBot="1" x14ac:dyDescent="0.3">
      <c r="B5" s="9"/>
      <c r="C5" s="128" t="s">
        <v>32</v>
      </c>
      <c r="D5" s="129"/>
      <c r="E5" s="130"/>
      <c r="F5" s="23"/>
      <c r="G5" s="19"/>
      <c r="R5" s="12"/>
    </row>
    <row r="6" spans="2:24" ht="30.75" customHeight="1" thickBot="1" x14ac:dyDescent="0.3">
      <c r="B6" s="9"/>
      <c r="C6" s="29" t="s">
        <v>0</v>
      </c>
      <c r="D6" s="113">
        <v>1.39</v>
      </c>
      <c r="E6" s="114"/>
      <c r="F6" s="31" t="s">
        <v>7</v>
      </c>
      <c r="G6" s="32"/>
      <c r="R6" s="12"/>
    </row>
    <row r="7" spans="2:24" ht="30.75" customHeight="1" thickBot="1" x14ac:dyDescent="0.3">
      <c r="B7" s="9"/>
      <c r="C7" s="29" t="s">
        <v>1</v>
      </c>
      <c r="D7" s="113">
        <v>48</v>
      </c>
      <c r="E7" s="114"/>
      <c r="F7" s="33" t="s">
        <v>8</v>
      </c>
      <c r="G7" s="34"/>
      <c r="R7" s="12"/>
    </row>
    <row r="8" spans="2:24" ht="30.75" customHeight="1" thickBot="1" x14ac:dyDescent="0.3">
      <c r="B8" s="9"/>
      <c r="C8" s="30" t="s">
        <v>2</v>
      </c>
      <c r="D8" s="113">
        <v>800</v>
      </c>
      <c r="E8" s="114"/>
      <c r="F8" s="35" t="s">
        <v>9</v>
      </c>
      <c r="G8" s="36"/>
      <c r="R8" s="12"/>
      <c r="T8" s="1" t="s">
        <v>34</v>
      </c>
      <c r="U8" s="13">
        <f>1-D17</f>
        <v>0.9</v>
      </c>
    </row>
    <row r="9" spans="2:24" ht="15.75" thickBot="1" x14ac:dyDescent="0.3">
      <c r="B9" s="9"/>
      <c r="C9" s="14"/>
      <c r="D9" s="15"/>
      <c r="E9" s="15"/>
      <c r="F9" s="37"/>
      <c r="G9" s="38"/>
      <c r="R9" s="12"/>
      <c r="T9" s="1" t="s">
        <v>35</v>
      </c>
      <c r="U9" s="13">
        <f>D17</f>
        <v>0.1</v>
      </c>
    </row>
    <row r="10" spans="2:24" x14ac:dyDescent="0.25">
      <c r="B10" s="9"/>
      <c r="C10" s="119" t="s">
        <v>30</v>
      </c>
      <c r="D10" s="120"/>
      <c r="E10" s="121"/>
      <c r="F10" s="39"/>
      <c r="G10" s="38"/>
      <c r="R10" s="12"/>
      <c r="T10" s="1"/>
      <c r="U10" s="1"/>
    </row>
    <row r="11" spans="2:24" ht="12" customHeight="1" thickBot="1" x14ac:dyDescent="0.3">
      <c r="B11" s="9"/>
      <c r="C11" s="122" t="s">
        <v>29</v>
      </c>
      <c r="D11" s="123"/>
      <c r="E11" s="124"/>
      <c r="F11" s="39"/>
      <c r="G11" s="38"/>
      <c r="R11" s="12"/>
      <c r="T11" s="1"/>
      <c r="U11" s="1"/>
    </row>
    <row r="12" spans="2:24" ht="15.75" thickBot="1" x14ac:dyDescent="0.3">
      <c r="B12" s="9"/>
      <c r="C12" s="113" t="s">
        <v>18</v>
      </c>
      <c r="D12" s="125"/>
      <c r="E12" s="126"/>
      <c r="F12" s="40"/>
      <c r="G12" s="41"/>
      <c r="R12" s="12"/>
      <c r="T12" s="1"/>
      <c r="U12" s="1"/>
    </row>
    <row r="13" spans="2:24" ht="30.75" customHeight="1" x14ac:dyDescent="0.25">
      <c r="B13" s="9"/>
      <c r="C13" s="28" t="s">
        <v>3</v>
      </c>
      <c r="D13" s="131">
        <f>VLOOKUP(C12,$W$14:$X$18,2,FALSE)</f>
        <v>3.7</v>
      </c>
      <c r="E13" s="132"/>
      <c r="F13" s="42" t="s">
        <v>36</v>
      </c>
      <c r="G13" s="32"/>
      <c r="R13" s="12"/>
      <c r="T13" s="1"/>
      <c r="U13" s="1"/>
    </row>
    <row r="14" spans="2:24" ht="12" customHeight="1" thickBot="1" x14ac:dyDescent="0.3">
      <c r="B14" s="9"/>
      <c r="C14" s="127" t="s">
        <v>31</v>
      </c>
      <c r="D14" s="123"/>
      <c r="E14" s="123"/>
      <c r="F14" s="43"/>
      <c r="G14" s="44"/>
      <c r="R14" s="12"/>
      <c r="T14" s="1"/>
      <c r="U14" s="1"/>
      <c r="W14" t="s">
        <v>15</v>
      </c>
      <c r="X14">
        <v>4.2</v>
      </c>
    </row>
    <row r="15" spans="2:24" ht="30.75" customHeight="1" thickBot="1" x14ac:dyDescent="0.3">
      <c r="B15" s="9"/>
      <c r="C15" s="29" t="s">
        <v>4</v>
      </c>
      <c r="D15" s="113">
        <v>7.0000000000000007E-2</v>
      </c>
      <c r="E15" s="114"/>
      <c r="F15" s="33" t="s">
        <v>10</v>
      </c>
      <c r="G15" s="34"/>
      <c r="R15" s="12"/>
      <c r="T15" s="1">
        <v>4.2</v>
      </c>
      <c r="U15" s="1" t="s">
        <v>14</v>
      </c>
      <c r="W15" t="s">
        <v>16</v>
      </c>
      <c r="X15">
        <v>4.0999999999999996</v>
      </c>
    </row>
    <row r="16" spans="2:24" ht="30.75" customHeight="1" thickBot="1" x14ac:dyDescent="0.3">
      <c r="B16" s="9"/>
      <c r="C16" s="29" t="s">
        <v>5</v>
      </c>
      <c r="D16" s="113">
        <v>0.65</v>
      </c>
      <c r="E16" s="114"/>
      <c r="F16" s="33" t="s">
        <v>10</v>
      </c>
      <c r="G16" s="34"/>
      <c r="R16" s="12"/>
      <c r="T16" s="1">
        <v>4.0999999999999996</v>
      </c>
      <c r="U16" s="1" t="s">
        <v>12</v>
      </c>
      <c r="W16" t="s">
        <v>17</v>
      </c>
      <c r="X16">
        <v>4.0999999999999996</v>
      </c>
    </row>
    <row r="17" spans="2:41" ht="30.75" customHeight="1" thickBot="1" x14ac:dyDescent="0.3">
      <c r="B17" s="9"/>
      <c r="C17" s="30" t="s">
        <v>6</v>
      </c>
      <c r="D17" s="115">
        <v>0.1</v>
      </c>
      <c r="E17" s="114"/>
      <c r="F17" s="35" t="s">
        <v>11</v>
      </c>
      <c r="G17" s="36"/>
      <c r="R17" s="12"/>
      <c r="T17" s="1">
        <v>3.7</v>
      </c>
      <c r="U17" s="1" t="s">
        <v>13</v>
      </c>
      <c r="W17" t="s">
        <v>18</v>
      </c>
      <c r="X17">
        <v>3.7</v>
      </c>
    </row>
    <row r="18" spans="2:41" x14ac:dyDescent="0.25">
      <c r="B18" s="9"/>
      <c r="R18" s="12"/>
      <c r="T18" s="1"/>
      <c r="U18" s="1"/>
      <c r="W18" t="s">
        <v>19</v>
      </c>
      <c r="X18">
        <v>3.7</v>
      </c>
    </row>
    <row r="19" spans="2:41" ht="15.75" thickBot="1" x14ac:dyDescent="0.3">
      <c r="B19" s="9"/>
      <c r="N19" s="2"/>
      <c r="R19" s="12"/>
      <c r="AC19" s="48" t="s">
        <v>43</v>
      </c>
      <c r="AJ19" s="49" t="s">
        <v>44</v>
      </c>
    </row>
    <row r="20" spans="2:41" s="2" customFormat="1" ht="18" customHeight="1" x14ac:dyDescent="0.3">
      <c r="B20" s="16"/>
      <c r="C20" s="24"/>
      <c r="D20" s="133" t="s">
        <v>26</v>
      </c>
      <c r="E20" s="134"/>
      <c r="F20" s="133" t="str">
        <f>"e Vitara"&amp; " "&amp;C12</f>
        <v>e Vitara 61kWh Motion ALLGRIP-e</v>
      </c>
      <c r="G20" s="134"/>
      <c r="H20" s="133" t="s">
        <v>33</v>
      </c>
      <c r="I20" s="139"/>
      <c r="R20" s="17"/>
      <c r="AB20" s="45"/>
      <c r="AC20" s="46" t="s">
        <v>38</v>
      </c>
      <c r="AD20" s="46" t="s">
        <v>39</v>
      </c>
      <c r="AE20" s="46" t="s">
        <v>40</v>
      </c>
      <c r="AF20" s="46" t="s">
        <v>41</v>
      </c>
      <c r="AG20" s="46" t="s">
        <v>42</v>
      </c>
      <c r="AH20" s="46" t="s">
        <v>37</v>
      </c>
      <c r="AJ20" s="46" t="s">
        <v>38</v>
      </c>
      <c r="AK20" s="46" t="s">
        <v>39</v>
      </c>
      <c r="AL20" s="46" t="s">
        <v>40</v>
      </c>
      <c r="AM20" s="46" t="s">
        <v>41</v>
      </c>
      <c r="AN20" s="46" t="s">
        <v>42</v>
      </c>
      <c r="AO20" s="46" t="s">
        <v>37</v>
      </c>
    </row>
    <row r="21" spans="2:41" s="2" customFormat="1" ht="36" customHeight="1" x14ac:dyDescent="0.4">
      <c r="B21" s="16"/>
      <c r="C21" s="25" t="s">
        <v>20</v>
      </c>
      <c r="D21" s="135">
        <f>(D8/D7)*4.54609*D6</f>
        <v>105.31775166666667</v>
      </c>
      <c r="E21" s="136"/>
      <c r="F21" s="135">
        <f>F25+F26</f>
        <v>27.675675675675677</v>
      </c>
      <c r="G21" s="136"/>
      <c r="H21" s="140">
        <f>D21-F21</f>
        <v>77.642075990990989</v>
      </c>
      <c r="I21" s="141"/>
      <c r="N21"/>
      <c r="R21" s="17"/>
      <c r="AB21" s="45" t="s">
        <v>15</v>
      </c>
      <c r="AC21" s="46">
        <v>101</v>
      </c>
      <c r="AD21" s="46">
        <v>109</v>
      </c>
      <c r="AE21" s="46">
        <v>133</v>
      </c>
      <c r="AF21" s="46">
        <v>202</v>
      </c>
      <c r="AG21" s="46">
        <v>149</v>
      </c>
      <c r="AH21" s="46">
        <v>106</v>
      </c>
      <c r="AJ21" s="47">
        <f t="shared" ref="AJ21:AO25" si="0">1000/(1.60934*AC21)</f>
        <v>6.1522053133644237</v>
      </c>
      <c r="AK21" s="47">
        <f t="shared" si="0"/>
        <v>5.7006673087138235</v>
      </c>
      <c r="AL21" s="47">
        <f t="shared" si="0"/>
        <v>4.671975463532382</v>
      </c>
      <c r="AM21" s="47">
        <f t="shared" si="0"/>
        <v>3.0761026566822118</v>
      </c>
      <c r="AN21" s="47">
        <f t="shared" si="0"/>
        <v>4.1702868231530656</v>
      </c>
      <c r="AO21" s="47">
        <f t="shared" si="0"/>
        <v>5.8620069495264788</v>
      </c>
    </row>
    <row r="22" spans="2:41" ht="36" customHeight="1" x14ac:dyDescent="0.4">
      <c r="B22" s="9"/>
      <c r="C22" s="26" t="s">
        <v>27</v>
      </c>
      <c r="D22" s="3"/>
      <c r="E22" s="4"/>
      <c r="F22" s="135">
        <f>D8/D13</f>
        <v>216.2162162162162</v>
      </c>
      <c r="G22" s="136"/>
      <c r="H22" s="140"/>
      <c r="I22" s="141"/>
      <c r="R22" s="12"/>
      <c r="AB22" s="45" t="s">
        <v>16</v>
      </c>
      <c r="AC22" s="46">
        <v>107</v>
      </c>
      <c r="AD22" s="46">
        <v>113</v>
      </c>
      <c r="AE22" s="46">
        <v>136</v>
      </c>
      <c r="AF22" s="46">
        <v>202</v>
      </c>
      <c r="AG22" s="46">
        <v>151</v>
      </c>
      <c r="AH22" s="46">
        <v>111</v>
      </c>
      <c r="AJ22" s="47">
        <f t="shared" si="0"/>
        <v>5.8072218378486617</v>
      </c>
      <c r="AK22" s="47">
        <f t="shared" si="0"/>
        <v>5.4988737756620063</v>
      </c>
      <c r="AL22" s="47">
        <f t="shared" si="0"/>
        <v>4.5689171812485796</v>
      </c>
      <c r="AM22" s="47">
        <f t="shared" si="0"/>
        <v>3.0761026566822118</v>
      </c>
      <c r="AN22" s="47">
        <f t="shared" si="0"/>
        <v>4.1150512360914355</v>
      </c>
      <c r="AO22" s="47">
        <f t="shared" si="0"/>
        <v>5.5979525824306915</v>
      </c>
    </row>
    <row r="23" spans="2:41" ht="36" customHeight="1" x14ac:dyDescent="0.4">
      <c r="B23" s="9"/>
      <c r="C23" s="26" t="s">
        <v>22</v>
      </c>
      <c r="D23" s="3"/>
      <c r="E23" s="4"/>
      <c r="F23" s="135">
        <f>F22*(1-D17)</f>
        <v>194.59459459459458</v>
      </c>
      <c r="G23" s="136"/>
      <c r="H23" s="140"/>
      <c r="I23" s="141"/>
      <c r="R23" s="12"/>
      <c r="AB23" s="45" t="s">
        <v>17</v>
      </c>
      <c r="AC23" s="46">
        <v>107</v>
      </c>
      <c r="AD23" s="46">
        <v>113</v>
      </c>
      <c r="AE23" s="46">
        <v>136</v>
      </c>
      <c r="AF23" s="46">
        <v>202</v>
      </c>
      <c r="AG23" s="46">
        <v>151</v>
      </c>
      <c r="AH23" s="46">
        <v>111</v>
      </c>
      <c r="AJ23" s="47">
        <f t="shared" si="0"/>
        <v>5.8072218378486617</v>
      </c>
      <c r="AK23" s="47">
        <f t="shared" si="0"/>
        <v>5.4988737756620063</v>
      </c>
      <c r="AL23" s="47">
        <f t="shared" si="0"/>
        <v>4.5689171812485796</v>
      </c>
      <c r="AM23" s="47">
        <f t="shared" si="0"/>
        <v>3.0761026566822118</v>
      </c>
      <c r="AN23" s="47">
        <f t="shared" si="0"/>
        <v>4.1150512360914355</v>
      </c>
      <c r="AO23" s="47">
        <f t="shared" si="0"/>
        <v>5.5979525824306915</v>
      </c>
    </row>
    <row r="24" spans="2:41" ht="36" customHeight="1" x14ac:dyDescent="0.4">
      <c r="B24" s="9"/>
      <c r="C24" s="26" t="s">
        <v>25</v>
      </c>
      <c r="D24" s="3"/>
      <c r="E24" s="4"/>
      <c r="F24" s="135">
        <f>F22*D17</f>
        <v>21.621621621621621</v>
      </c>
      <c r="G24" s="136"/>
      <c r="H24" s="140"/>
      <c r="I24" s="141"/>
      <c r="R24" s="12"/>
      <c r="AB24" s="45" t="s">
        <v>18</v>
      </c>
      <c r="AC24" s="46">
        <v>121</v>
      </c>
      <c r="AD24" s="46">
        <v>127</v>
      </c>
      <c r="AE24" s="46">
        <v>150</v>
      </c>
      <c r="AF24" s="46">
        <v>218</v>
      </c>
      <c r="AG24" s="46">
        <v>166</v>
      </c>
      <c r="AH24" s="46">
        <v>125</v>
      </c>
      <c r="AJ24" s="47">
        <f t="shared" si="0"/>
        <v>5.1353118731388987</v>
      </c>
      <c r="AK24" s="47">
        <f t="shared" si="0"/>
        <v>4.8926987137780058</v>
      </c>
      <c r="AL24" s="47">
        <f t="shared" si="0"/>
        <v>4.1424849109987116</v>
      </c>
      <c r="AM24" s="47">
        <f t="shared" si="0"/>
        <v>2.8503336543569118</v>
      </c>
      <c r="AN24" s="47">
        <f t="shared" si="0"/>
        <v>3.7432092569265465</v>
      </c>
      <c r="AO24" s="47">
        <f t="shared" si="0"/>
        <v>4.970981893198454</v>
      </c>
    </row>
    <row r="25" spans="2:41" ht="36" customHeight="1" x14ac:dyDescent="0.4">
      <c r="B25" s="9"/>
      <c r="C25" s="26" t="s">
        <v>23</v>
      </c>
      <c r="D25" s="3"/>
      <c r="E25" s="4"/>
      <c r="F25" s="135">
        <f>F23*D15</f>
        <v>13.621621621621623</v>
      </c>
      <c r="G25" s="136"/>
      <c r="H25" s="140"/>
      <c r="I25" s="141"/>
      <c r="R25" s="12"/>
      <c r="AB25" s="45" t="s">
        <v>19</v>
      </c>
      <c r="AC25" s="46">
        <v>121</v>
      </c>
      <c r="AD25" s="46">
        <v>127</v>
      </c>
      <c r="AE25" s="46">
        <v>150</v>
      </c>
      <c r="AF25" s="46">
        <v>218</v>
      </c>
      <c r="AG25" s="46">
        <v>166</v>
      </c>
      <c r="AH25" s="46">
        <v>125</v>
      </c>
      <c r="AJ25" s="47">
        <f t="shared" si="0"/>
        <v>5.1353118731388987</v>
      </c>
      <c r="AK25" s="47">
        <f t="shared" si="0"/>
        <v>4.8926987137780058</v>
      </c>
      <c r="AL25" s="47">
        <f t="shared" si="0"/>
        <v>4.1424849109987116</v>
      </c>
      <c r="AM25" s="47">
        <f t="shared" si="0"/>
        <v>2.8503336543569118</v>
      </c>
      <c r="AN25" s="47">
        <f t="shared" si="0"/>
        <v>3.7432092569265465</v>
      </c>
      <c r="AO25" s="47">
        <f t="shared" si="0"/>
        <v>4.970981893198454</v>
      </c>
    </row>
    <row r="26" spans="2:41" ht="36" customHeight="1" x14ac:dyDescent="0.4">
      <c r="B26" s="9"/>
      <c r="C26" s="26" t="s">
        <v>24</v>
      </c>
      <c r="D26" s="5"/>
      <c r="E26" s="4"/>
      <c r="F26" s="135">
        <f>F24*D16</f>
        <v>14.054054054054054</v>
      </c>
      <c r="G26" s="136"/>
      <c r="H26" s="140"/>
      <c r="I26" s="141"/>
      <c r="N26" s="2"/>
      <c r="R26" s="12"/>
      <c r="AB26" s="45"/>
      <c r="AC26" s="46"/>
      <c r="AD26" s="46"/>
      <c r="AE26" s="46"/>
      <c r="AF26" s="46"/>
      <c r="AG26" s="46"/>
      <c r="AH26" s="46"/>
      <c r="AJ26" s="46"/>
      <c r="AK26" s="46"/>
      <c r="AL26" s="46"/>
      <c r="AM26" s="46"/>
      <c r="AN26" s="46"/>
      <c r="AO26" s="46"/>
    </row>
    <row r="27" spans="2:41" s="2" customFormat="1" ht="36" customHeight="1" thickBot="1" x14ac:dyDescent="0.45">
      <c r="B27" s="16"/>
      <c r="C27" s="27" t="s">
        <v>21</v>
      </c>
      <c r="D27" s="137">
        <f>D21*12</f>
        <v>1263.8130200000001</v>
      </c>
      <c r="E27" s="138"/>
      <c r="F27" s="137">
        <f>F21*12</f>
        <v>332.10810810810813</v>
      </c>
      <c r="G27" s="138"/>
      <c r="H27" s="142">
        <f>H21*12</f>
        <v>931.70491189189192</v>
      </c>
      <c r="I27" s="143"/>
      <c r="N27"/>
      <c r="R27" s="17"/>
      <c r="AC27" s="11"/>
      <c r="AD27" s="11"/>
      <c r="AE27" s="11"/>
      <c r="AF27" s="11"/>
      <c r="AG27" s="11"/>
      <c r="AH27" s="11"/>
    </row>
    <row r="28" spans="2:41" x14ac:dyDescent="0.25">
      <c r="B28" s="9"/>
      <c r="R28" s="12"/>
    </row>
    <row r="29" spans="2:41" ht="15.75" thickBot="1" x14ac:dyDescent="0.3">
      <c r="B29" s="18"/>
      <c r="C29" s="19"/>
      <c r="D29" s="20"/>
      <c r="E29" s="20"/>
      <c r="F29" s="20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  <c r="R29" s="21"/>
    </row>
  </sheetData>
  <mergeCells count="32">
    <mergeCell ref="H25:I25"/>
    <mergeCell ref="H26:I26"/>
    <mergeCell ref="H27:I27"/>
    <mergeCell ref="F23:G23"/>
    <mergeCell ref="F24:G24"/>
    <mergeCell ref="F25:G25"/>
    <mergeCell ref="F26:G26"/>
    <mergeCell ref="F27:G27"/>
    <mergeCell ref="H20:I20"/>
    <mergeCell ref="H21:I21"/>
    <mergeCell ref="H22:I22"/>
    <mergeCell ref="H23:I23"/>
    <mergeCell ref="H24:I24"/>
    <mergeCell ref="D20:E20"/>
    <mergeCell ref="D21:E21"/>
    <mergeCell ref="D27:E27"/>
    <mergeCell ref="F20:G20"/>
    <mergeCell ref="F21:G21"/>
    <mergeCell ref="F22:G22"/>
    <mergeCell ref="D15:E15"/>
    <mergeCell ref="D16:E16"/>
    <mergeCell ref="D17:E17"/>
    <mergeCell ref="C4:E4"/>
    <mergeCell ref="C10:E10"/>
    <mergeCell ref="C11:E11"/>
    <mergeCell ref="C12:E12"/>
    <mergeCell ref="C14:E14"/>
    <mergeCell ref="C5:E5"/>
    <mergeCell ref="D6:E6"/>
    <mergeCell ref="D7:E7"/>
    <mergeCell ref="D8:E8"/>
    <mergeCell ref="D13:E13"/>
  </mergeCells>
  <conditionalFormatting sqref="H21:I27">
    <cfRule type="cellIs" dxfId="3" priority="1" operator="lessThanOrEqual">
      <formula>0</formula>
    </cfRule>
    <cfRule type="cellIs" dxfId="2" priority="2" operator="greaterThan">
      <formula>0</formula>
    </cfRule>
  </conditionalFormatting>
  <dataValidations count="1">
    <dataValidation type="list" allowBlank="1" showInputMessage="1" showErrorMessage="1" sqref="C12:E12" xr:uid="{B9D63C36-35A9-4AF7-9C43-7325708C0E30}">
      <formula1>$W$14:$W$18</formula1>
    </dataValidation>
  </dataValidations>
  <pageMargins left="0.7" right="0.7" top="0.75" bottom="0.75" header="0.3" footer="0.3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4523-2DFC-48FE-B582-2C54022FB25A}">
  <sheetPr>
    <pageSetUpPr fitToPage="1"/>
  </sheetPr>
  <dimension ref="B1:AO49"/>
  <sheetViews>
    <sheetView showGridLines="0" tabSelected="1" zoomScale="110" zoomScaleNormal="110" zoomScaleSheetLayoutView="100" workbookViewId="0">
      <selection activeCell="D5" sqref="D5:E5"/>
    </sheetView>
  </sheetViews>
  <sheetFormatPr defaultRowHeight="15" x14ac:dyDescent="0.25"/>
  <cols>
    <col min="1" max="1" width="10" style="86" customWidth="1"/>
    <col min="2" max="2" width="9.140625" style="86" customWidth="1"/>
    <col min="3" max="3" width="18.28515625" style="86" customWidth="1"/>
    <col min="4" max="4" width="9.140625" style="88"/>
    <col min="5" max="5" width="17.5703125" style="88" customWidth="1"/>
    <col min="6" max="6" width="3.7109375" style="88" customWidth="1"/>
    <col min="7" max="7" width="9.140625" style="88" customWidth="1"/>
    <col min="8" max="8" width="18.28515625" style="86" customWidth="1"/>
    <col min="9" max="9" width="3.85546875" style="86" customWidth="1"/>
    <col min="10" max="10" width="3.85546875" style="88" customWidth="1"/>
    <col min="11" max="11" width="28.42578125" style="86" customWidth="1"/>
    <col min="12" max="16" width="13.42578125" style="86" customWidth="1"/>
    <col min="17" max="17" width="10.42578125" style="86" customWidth="1"/>
    <col min="18" max="18" width="9.140625" style="86" customWidth="1"/>
    <col min="19" max="19" width="9.140625" style="86"/>
    <col min="20" max="20" width="14.85546875" style="86" hidden="1" customWidth="1"/>
    <col min="21" max="21" width="11.28515625" style="86" hidden="1" customWidth="1"/>
    <col min="22" max="22" width="9.140625" style="86" hidden="1" customWidth="1"/>
    <col min="23" max="23" width="23" style="86" hidden="1" customWidth="1"/>
    <col min="24" max="24" width="4" style="86" hidden="1" customWidth="1"/>
    <col min="25" max="27" width="9.140625" style="86" hidden="1" customWidth="1"/>
    <col min="28" max="28" width="23.140625" style="86" hidden="1" customWidth="1"/>
    <col min="29" max="34" width="9.5703125" style="88" hidden="1" customWidth="1"/>
    <col min="35" max="35" width="23" style="86" hidden="1" customWidth="1"/>
    <col min="36" max="41" width="9.140625" style="86" hidden="1" customWidth="1"/>
    <col min="42" max="16384" width="9.140625" style="86"/>
  </cols>
  <sheetData>
    <row r="1" spans="2:24" ht="3" customHeight="1" thickBot="1" x14ac:dyDescent="0.3"/>
    <row r="2" spans="2:24" ht="36" customHeight="1" thickBot="1" x14ac:dyDescent="0.3">
      <c r="B2" s="6"/>
      <c r="C2" s="78"/>
      <c r="D2" s="78"/>
      <c r="E2" s="78"/>
      <c r="F2" s="7"/>
      <c r="G2" s="79"/>
      <c r="H2" s="80"/>
      <c r="I2" s="81"/>
      <c r="J2" s="80"/>
      <c r="K2" s="82"/>
      <c r="L2" s="83" t="s">
        <v>55</v>
      </c>
      <c r="M2" s="84"/>
      <c r="N2" s="85"/>
      <c r="O2" s="7"/>
      <c r="P2" s="7"/>
      <c r="Q2" s="7"/>
      <c r="R2" s="10"/>
    </row>
    <row r="3" spans="2:24" ht="15" customHeight="1" thickBot="1" x14ac:dyDescent="0.3">
      <c r="B3" s="9"/>
      <c r="C3" s="163" t="s">
        <v>28</v>
      </c>
      <c r="D3" s="164"/>
      <c r="E3" s="164"/>
      <c r="F3" s="110"/>
      <c r="G3" s="108"/>
      <c r="H3"/>
      <c r="I3"/>
      <c r="J3" s="1"/>
      <c r="K3" s="148"/>
      <c r="L3" s="19"/>
      <c r="M3"/>
      <c r="N3"/>
      <c r="O3"/>
      <c r="P3"/>
      <c r="Q3"/>
      <c r="R3" s="12"/>
    </row>
    <row r="4" spans="2:24" ht="12" customHeight="1" thickBot="1" x14ac:dyDescent="0.3">
      <c r="B4" s="9"/>
      <c r="C4" s="128" t="s">
        <v>32</v>
      </c>
      <c r="D4" s="129"/>
      <c r="E4" s="130"/>
      <c r="F4" s="23"/>
      <c r="G4" s="109"/>
      <c r="H4" s="19"/>
      <c r="I4"/>
      <c r="J4" s="1"/>
      <c r="K4" s="149"/>
      <c r="L4" s="151" t="s">
        <v>26</v>
      </c>
      <c r="M4" s="152"/>
      <c r="N4" s="155" t="str">
        <f>"e Vitara"&amp; " "&amp;C11</f>
        <v>e Vitara 61kWh Ultra ALLGRIP-e</v>
      </c>
      <c r="O4" s="152"/>
      <c r="P4" s="155" t="s">
        <v>33</v>
      </c>
      <c r="Q4" s="157"/>
      <c r="R4" s="12"/>
    </row>
    <row r="5" spans="2:24" ht="30.75" thickBot="1" x14ac:dyDescent="0.3">
      <c r="B5" s="9"/>
      <c r="C5" s="29" t="s">
        <v>54</v>
      </c>
      <c r="D5" s="165"/>
      <c r="E5" s="166"/>
      <c r="F5" s="31" t="s">
        <v>7</v>
      </c>
      <c r="G5" s="31"/>
      <c r="H5" s="32"/>
      <c r="I5"/>
      <c r="J5" s="1"/>
      <c r="K5" s="150"/>
      <c r="L5" s="153"/>
      <c r="M5" s="154"/>
      <c r="N5" s="156"/>
      <c r="O5" s="154"/>
      <c r="P5" s="156"/>
      <c r="Q5" s="158"/>
      <c r="R5" s="12"/>
    </row>
    <row r="6" spans="2:24" ht="30.75" customHeight="1" thickBot="1" x14ac:dyDescent="0.45">
      <c r="B6" s="9"/>
      <c r="C6" s="29" t="s">
        <v>1</v>
      </c>
      <c r="D6" s="171"/>
      <c r="E6" s="172"/>
      <c r="F6" s="33" t="s">
        <v>52</v>
      </c>
      <c r="G6" s="33"/>
      <c r="H6" s="34"/>
      <c r="I6"/>
      <c r="J6" s="1"/>
      <c r="K6" s="60" t="s">
        <v>20</v>
      </c>
      <c r="L6" s="135" t="str">
        <f>IFERROR((D7/D6)*4.54609*D5,"")</f>
        <v/>
      </c>
      <c r="M6" s="167"/>
      <c r="N6" s="135" t="str">
        <f>IF(E43=100%,E37+E38,"")</f>
        <v/>
      </c>
      <c r="O6" s="167"/>
      <c r="P6" s="140" t="e">
        <f>L6-N6</f>
        <v>#VALUE!</v>
      </c>
      <c r="Q6" s="168"/>
      <c r="R6" s="12"/>
    </row>
    <row r="7" spans="2:24" ht="30.75" customHeight="1" thickBot="1" x14ac:dyDescent="0.45">
      <c r="B7" s="9"/>
      <c r="C7" s="30" t="s">
        <v>2</v>
      </c>
      <c r="D7" s="173"/>
      <c r="E7" s="160"/>
      <c r="F7" s="35" t="s">
        <v>9</v>
      </c>
      <c r="G7" s="35"/>
      <c r="H7" s="36"/>
      <c r="I7"/>
      <c r="J7" s="1"/>
      <c r="K7" s="59" t="s">
        <v>21</v>
      </c>
      <c r="L7" s="137" t="str">
        <f>IFERROR(L6*12,"")</f>
        <v/>
      </c>
      <c r="M7" s="144"/>
      <c r="N7" s="137" t="str">
        <f>IF(E43=100%,N6*12,"")</f>
        <v/>
      </c>
      <c r="O7" s="144"/>
      <c r="P7" s="142" t="e">
        <f>P6*12</f>
        <v>#VALUE!</v>
      </c>
      <c r="Q7" s="145"/>
      <c r="R7" s="12"/>
      <c r="T7" s="88" t="s">
        <v>34</v>
      </c>
      <c r="U7" s="89" t="str">
        <f>IF(D25="","",1-D25)</f>
        <v/>
      </c>
    </row>
    <row r="8" spans="2:24" ht="15.75" thickBot="1" x14ac:dyDescent="0.3">
      <c r="B8" s="9"/>
      <c r="C8" s="14"/>
      <c r="D8" s="15"/>
      <c r="E8" s="15"/>
      <c r="F8" s="15"/>
      <c r="G8" s="37"/>
      <c r="H8" s="38"/>
      <c r="I8"/>
      <c r="J8" s="1"/>
      <c r="K8"/>
      <c r="L8"/>
      <c r="M8"/>
      <c r="N8"/>
      <c r="O8"/>
      <c r="P8"/>
      <c r="Q8"/>
      <c r="R8" s="12"/>
      <c r="T8" s="88" t="s">
        <v>35</v>
      </c>
      <c r="U8" s="89">
        <f>D25</f>
        <v>0</v>
      </c>
    </row>
    <row r="9" spans="2:24" ht="15.75" thickBot="1" x14ac:dyDescent="0.3">
      <c r="B9" s="9"/>
      <c r="C9" s="119" t="s">
        <v>30</v>
      </c>
      <c r="D9" s="120"/>
      <c r="E9" s="121"/>
      <c r="F9" s="111"/>
      <c r="G9" s="43"/>
      <c r="H9" s="38"/>
      <c r="I9"/>
      <c r="J9" s="1"/>
      <c r="K9" s="63"/>
      <c r="L9" s="64"/>
      <c r="M9" s="64"/>
      <c r="N9" s="64"/>
      <c r="O9" s="64"/>
      <c r="P9" s="64"/>
      <c r="Q9" s="65"/>
      <c r="R9" s="12"/>
      <c r="T9" s="88"/>
      <c r="U9" s="88"/>
    </row>
    <row r="10" spans="2:24" ht="12" customHeight="1" thickBot="1" x14ac:dyDescent="0.3">
      <c r="B10" s="9"/>
      <c r="C10" s="122" t="s">
        <v>29</v>
      </c>
      <c r="D10" s="123"/>
      <c r="E10" s="124"/>
      <c r="F10" s="180" t="s">
        <v>69</v>
      </c>
      <c r="G10" s="181"/>
      <c r="H10" s="182"/>
      <c r="I10"/>
      <c r="J10" s="1"/>
      <c r="K10" s="66"/>
      <c r="L10" s="67"/>
      <c r="M10" s="67"/>
      <c r="N10" s="67"/>
      <c r="O10" s="67"/>
      <c r="P10" s="185" t="s">
        <v>26</v>
      </c>
      <c r="Q10" s="186"/>
      <c r="R10" s="12"/>
      <c r="T10" s="88"/>
      <c r="U10" s="88"/>
    </row>
    <row r="11" spans="2:24" ht="15.75" thickBot="1" x14ac:dyDescent="0.3">
      <c r="B11" s="9"/>
      <c r="C11" s="169" t="s">
        <v>19</v>
      </c>
      <c r="D11" s="170"/>
      <c r="E11" s="170"/>
      <c r="F11" s="177" t="str">
        <f>VLOOKUP(C11,W13:X17,2,FALSE)</f>
        <v>3.7 miles/kWh</v>
      </c>
      <c r="G11" s="178"/>
      <c r="H11" s="179"/>
      <c r="I11"/>
      <c r="J11" s="1"/>
      <c r="K11" s="66"/>
      <c r="L11" s="67"/>
      <c r="M11" s="67"/>
      <c r="N11" s="67"/>
      <c r="O11" s="67"/>
      <c r="P11" s="183" t="str">
        <f>N4</f>
        <v>e Vitara 61kWh Ultra ALLGRIP-e</v>
      </c>
      <c r="Q11" s="184"/>
      <c r="R11" s="12"/>
      <c r="T11" s="88"/>
      <c r="U11" s="88"/>
    </row>
    <row r="12" spans="2:24" ht="6" customHeight="1" x14ac:dyDescent="0.25">
      <c r="B12" s="9"/>
      <c r="C12" s="52"/>
      <c r="D12" s="53"/>
      <c r="E12" s="53"/>
      <c r="F12" s="38"/>
      <c r="G12" s="55"/>
      <c r="H12" s="54"/>
      <c r="I12"/>
      <c r="J12" s="1"/>
      <c r="K12" s="66"/>
      <c r="L12" s="67"/>
      <c r="M12" s="67"/>
      <c r="N12" s="67"/>
      <c r="O12" s="67"/>
      <c r="P12" s="183"/>
      <c r="Q12" s="184"/>
      <c r="R12" s="12"/>
      <c r="T12" s="88"/>
      <c r="U12" s="88"/>
    </row>
    <row r="13" spans="2:24" ht="12" customHeight="1" thickBot="1" x14ac:dyDescent="0.3">
      <c r="B13" s="9"/>
      <c r="C13" s="161" t="s">
        <v>45</v>
      </c>
      <c r="D13" s="162"/>
      <c r="E13" s="162"/>
      <c r="F13" s="50"/>
      <c r="G13" s="57"/>
      <c r="H13" s="56"/>
      <c r="I13"/>
      <c r="J13" s="1"/>
      <c r="K13" s="66"/>
      <c r="L13" s="67"/>
      <c r="M13" s="67"/>
      <c r="N13" s="67"/>
      <c r="O13" s="67"/>
      <c r="P13" s="187" t="s">
        <v>33</v>
      </c>
      <c r="Q13" s="188"/>
      <c r="R13" s="12"/>
      <c r="T13" s="88"/>
      <c r="U13" s="88"/>
      <c r="W13" s="86" t="s">
        <v>15</v>
      </c>
      <c r="X13" s="86" t="s">
        <v>66</v>
      </c>
    </row>
    <row r="14" spans="2:24" ht="32.25" customHeight="1" thickBot="1" x14ac:dyDescent="0.3">
      <c r="B14" s="9"/>
      <c r="C14" s="29" t="s">
        <v>57</v>
      </c>
      <c r="D14" s="159"/>
      <c r="E14" s="160"/>
      <c r="F14" s="33" t="s">
        <v>64</v>
      </c>
      <c r="G14" s="33"/>
      <c r="H14" s="34"/>
      <c r="I14"/>
      <c r="J14" s="1"/>
      <c r="K14" s="66"/>
      <c r="L14" s="67"/>
      <c r="M14" s="67"/>
      <c r="N14" s="67"/>
      <c r="O14" s="67"/>
      <c r="P14" s="67"/>
      <c r="Q14" s="68"/>
      <c r="R14" s="12"/>
      <c r="T14" s="88">
        <v>4.2</v>
      </c>
      <c r="U14" s="88" t="s">
        <v>14</v>
      </c>
      <c r="W14" s="86" t="s">
        <v>16</v>
      </c>
      <c r="X14" s="86" t="s">
        <v>67</v>
      </c>
    </row>
    <row r="15" spans="2:24" ht="32.25" customHeight="1" thickBot="1" x14ac:dyDescent="0.3">
      <c r="B15" s="9"/>
      <c r="C15" s="29" t="s">
        <v>58</v>
      </c>
      <c r="D15" s="159"/>
      <c r="E15" s="160"/>
      <c r="F15" s="33" t="s">
        <v>62</v>
      </c>
      <c r="G15" s="33"/>
      <c r="H15" s="34"/>
      <c r="I15"/>
      <c r="J15" s="1"/>
      <c r="K15" s="66"/>
      <c r="L15" s="67"/>
      <c r="M15" s="67"/>
      <c r="N15" s="67"/>
      <c r="O15" s="67"/>
      <c r="P15" s="67"/>
      <c r="Q15" s="68"/>
      <c r="R15" s="12"/>
      <c r="T15" s="88">
        <v>4.0999999999999996</v>
      </c>
      <c r="U15" s="88" t="s">
        <v>12</v>
      </c>
      <c r="W15" s="86" t="s">
        <v>17</v>
      </c>
      <c r="X15" s="86" t="s">
        <v>67</v>
      </c>
    </row>
    <row r="16" spans="2:24" ht="32.25" customHeight="1" thickBot="1" x14ac:dyDescent="0.3">
      <c r="B16" s="9"/>
      <c r="C16" s="29" t="s">
        <v>59</v>
      </c>
      <c r="D16" s="159"/>
      <c r="E16" s="160"/>
      <c r="F16" s="33" t="s">
        <v>63</v>
      </c>
      <c r="G16" s="33"/>
      <c r="H16" s="34"/>
      <c r="I16"/>
      <c r="J16" s="1"/>
      <c r="K16" s="66"/>
      <c r="L16" s="67"/>
      <c r="M16" s="67"/>
      <c r="N16" s="67"/>
      <c r="O16" s="67"/>
      <c r="P16" s="67"/>
      <c r="Q16" s="68"/>
      <c r="R16" s="12"/>
      <c r="T16" s="88">
        <v>3.7</v>
      </c>
      <c r="U16" s="88" t="s">
        <v>13</v>
      </c>
      <c r="W16" s="86" t="s">
        <v>18</v>
      </c>
      <c r="X16" s="86" t="s">
        <v>68</v>
      </c>
    </row>
    <row r="17" spans="2:41" ht="32.25" customHeight="1" thickBot="1" x14ac:dyDescent="0.3">
      <c r="B17" s="9"/>
      <c r="C17" s="29" t="s">
        <v>60</v>
      </c>
      <c r="D17" s="159"/>
      <c r="E17" s="160"/>
      <c r="F17" s="33" t="s">
        <v>65</v>
      </c>
      <c r="G17" s="33"/>
      <c r="H17" s="34"/>
      <c r="I17"/>
      <c r="J17" s="1"/>
      <c r="K17" s="66"/>
      <c r="L17" s="67"/>
      <c r="M17" s="67"/>
      <c r="N17" s="67"/>
      <c r="O17" s="67"/>
      <c r="P17" s="67"/>
      <c r="Q17" s="68"/>
      <c r="R17" s="12"/>
      <c r="T17" s="88"/>
      <c r="U17" s="88"/>
      <c r="W17" s="86" t="s">
        <v>19</v>
      </c>
      <c r="X17" s="86" t="s">
        <v>68</v>
      </c>
    </row>
    <row r="18" spans="2:41" ht="15" customHeight="1" x14ac:dyDescent="0.25">
      <c r="B18" s="9"/>
      <c r="C18" s="61" t="s">
        <v>56</v>
      </c>
      <c r="D18" s="189">
        <f>SUM(D14:E17)</f>
        <v>0</v>
      </c>
      <c r="E18" s="190"/>
      <c r="F18" s="107"/>
      <c r="G18" s="76" t="s">
        <v>53</v>
      </c>
      <c r="H18" s="77"/>
      <c r="I18"/>
      <c r="J18" s="1"/>
      <c r="K18" s="66"/>
      <c r="L18" s="67"/>
      <c r="M18" s="67"/>
      <c r="N18" s="67"/>
      <c r="O18" s="67"/>
      <c r="P18" s="67"/>
      <c r="Q18" s="68"/>
      <c r="R18" s="12"/>
      <c r="AC18" s="90" t="s">
        <v>43</v>
      </c>
      <c r="AJ18" s="91" t="s">
        <v>44</v>
      </c>
    </row>
    <row r="19" spans="2:41" s="87" customFormat="1" ht="5.25" customHeight="1" x14ac:dyDescent="0.25">
      <c r="B19" s="16"/>
      <c r="C19" s="52"/>
      <c r="D19" s="53"/>
      <c r="E19" s="53"/>
      <c r="F19" s="53"/>
      <c r="G19" s="51"/>
      <c r="H19" s="58"/>
      <c r="I19" s="2"/>
      <c r="J19" s="2"/>
      <c r="K19" s="69"/>
      <c r="L19" s="70"/>
      <c r="M19" s="70"/>
      <c r="N19" s="70"/>
      <c r="O19" s="70"/>
      <c r="P19" s="70"/>
      <c r="Q19" s="71"/>
      <c r="R19" s="17"/>
      <c r="AB19" s="92"/>
      <c r="AC19" s="93" t="s">
        <v>46</v>
      </c>
      <c r="AD19" s="93" t="s">
        <v>47</v>
      </c>
      <c r="AE19" s="93" t="s">
        <v>48</v>
      </c>
      <c r="AF19" s="93" t="s">
        <v>49</v>
      </c>
      <c r="AG19" s="93" t="s">
        <v>42</v>
      </c>
      <c r="AH19" s="93" t="s">
        <v>37</v>
      </c>
      <c r="AJ19" s="93" t="s">
        <v>46</v>
      </c>
      <c r="AK19" s="93" t="s">
        <v>47</v>
      </c>
      <c r="AL19" s="93" t="s">
        <v>48</v>
      </c>
      <c r="AM19" s="93" t="s">
        <v>49</v>
      </c>
      <c r="AN19" s="93" t="s">
        <v>42</v>
      </c>
      <c r="AO19" s="93" t="s">
        <v>37</v>
      </c>
    </row>
    <row r="20" spans="2:41" s="87" customFormat="1" ht="30.75" customHeight="1" x14ac:dyDescent="0.25">
      <c r="B20" s="16"/>
      <c r="C20" s="28" t="s">
        <v>3</v>
      </c>
      <c r="D20" s="193">
        <f>AD32</f>
        <v>0</v>
      </c>
      <c r="E20" s="194"/>
      <c r="F20" s="33" t="s">
        <v>51</v>
      </c>
      <c r="G20" s="33"/>
      <c r="H20" s="34"/>
      <c r="I20" s="2"/>
      <c r="J20" s="2"/>
      <c r="K20" s="69"/>
      <c r="L20" s="70"/>
      <c r="M20" s="70"/>
      <c r="N20" s="70"/>
      <c r="O20" s="70"/>
      <c r="P20" s="70"/>
      <c r="Q20" s="71"/>
      <c r="R20" s="17"/>
      <c r="AB20" s="92" t="s">
        <v>15</v>
      </c>
      <c r="AC20" s="94">
        <v>101</v>
      </c>
      <c r="AD20" s="94">
        <v>109</v>
      </c>
      <c r="AE20" s="94">
        <v>133</v>
      </c>
      <c r="AF20" s="94">
        <v>202</v>
      </c>
      <c r="AG20" s="94">
        <v>149</v>
      </c>
      <c r="AH20" s="94">
        <v>106</v>
      </c>
      <c r="AI20" s="92" t="s">
        <v>15</v>
      </c>
      <c r="AJ20" s="95">
        <f>1000/(1.60934*AC20)</f>
        <v>6.1522053133644237</v>
      </c>
      <c r="AK20" s="95">
        <f t="shared" ref="AK20:AO24" si="0">1000/(1.60934*AD20)</f>
        <v>5.7006673087138235</v>
      </c>
      <c r="AL20" s="95">
        <f t="shared" si="0"/>
        <v>4.671975463532382</v>
      </c>
      <c r="AM20" s="95">
        <f t="shared" si="0"/>
        <v>3.0761026566822118</v>
      </c>
      <c r="AN20" s="95">
        <f>1000/(1.60934*AG20)</f>
        <v>4.1702868231530656</v>
      </c>
      <c r="AO20" s="95">
        <f>1000/(1.60934*AH20)</f>
        <v>5.8620069495264788</v>
      </c>
    </row>
    <row r="21" spans="2:41" ht="6" customHeight="1" x14ac:dyDescent="0.25">
      <c r="B21" s="9"/>
      <c r="C21" s="52"/>
      <c r="D21" s="53"/>
      <c r="E21" s="53"/>
      <c r="F21" s="38"/>
      <c r="G21" s="38"/>
      <c r="H21" s="44"/>
      <c r="I21"/>
      <c r="J21" s="1"/>
      <c r="K21" s="66"/>
      <c r="L21" s="67"/>
      <c r="M21" s="67"/>
      <c r="N21" s="67"/>
      <c r="O21" s="67"/>
      <c r="P21" s="67"/>
      <c r="Q21" s="68"/>
      <c r="R21" s="12"/>
      <c r="AB21" s="92" t="s">
        <v>16</v>
      </c>
      <c r="AC21" s="94">
        <v>107</v>
      </c>
      <c r="AD21" s="94">
        <v>113</v>
      </c>
      <c r="AE21" s="94">
        <v>136</v>
      </c>
      <c r="AF21" s="94">
        <v>202</v>
      </c>
      <c r="AG21" s="94">
        <v>151</v>
      </c>
      <c r="AH21" s="94">
        <v>111</v>
      </c>
      <c r="AI21" s="92" t="s">
        <v>16</v>
      </c>
      <c r="AJ21" s="95">
        <f>1000/(1.60934*AC21)</f>
        <v>5.8072218378486617</v>
      </c>
      <c r="AK21" s="95">
        <f t="shared" si="0"/>
        <v>5.4988737756620063</v>
      </c>
      <c r="AL21" s="95">
        <f t="shared" si="0"/>
        <v>4.5689171812485796</v>
      </c>
      <c r="AM21" s="95">
        <f t="shared" si="0"/>
        <v>3.0761026566822118</v>
      </c>
      <c r="AN21" s="95">
        <f t="shared" si="0"/>
        <v>4.1150512360914355</v>
      </c>
      <c r="AO21" s="95">
        <f t="shared" si="0"/>
        <v>5.5979525824306915</v>
      </c>
    </row>
    <row r="22" spans="2:41" ht="12" customHeight="1" thickBot="1" x14ac:dyDescent="0.3">
      <c r="B22" s="9"/>
      <c r="C22" s="127" t="s">
        <v>31</v>
      </c>
      <c r="D22" s="123"/>
      <c r="E22" s="123"/>
      <c r="F22" s="57"/>
      <c r="G22" s="57"/>
      <c r="H22" s="56"/>
      <c r="I22"/>
      <c r="J22" s="1"/>
      <c r="K22" s="66"/>
      <c r="L22" s="67"/>
      <c r="M22" s="67"/>
      <c r="N22" s="67"/>
      <c r="O22" s="67"/>
      <c r="P22" s="67"/>
      <c r="Q22" s="68"/>
      <c r="R22" s="12"/>
      <c r="AB22" s="92" t="s">
        <v>17</v>
      </c>
      <c r="AC22" s="94">
        <v>107</v>
      </c>
      <c r="AD22" s="94">
        <v>113</v>
      </c>
      <c r="AE22" s="94">
        <v>136</v>
      </c>
      <c r="AF22" s="94">
        <v>202</v>
      </c>
      <c r="AG22" s="94">
        <v>151</v>
      </c>
      <c r="AH22" s="94">
        <v>111</v>
      </c>
      <c r="AI22" s="92" t="s">
        <v>17</v>
      </c>
      <c r="AJ22" s="95">
        <f>1000/(1.60934*AC22)</f>
        <v>5.8072218378486617</v>
      </c>
      <c r="AK22" s="95">
        <f t="shared" si="0"/>
        <v>5.4988737756620063</v>
      </c>
      <c r="AL22" s="95">
        <f t="shared" si="0"/>
        <v>4.5689171812485796</v>
      </c>
      <c r="AM22" s="95">
        <f t="shared" si="0"/>
        <v>3.0761026566822118</v>
      </c>
      <c r="AN22" s="95">
        <f t="shared" si="0"/>
        <v>4.1150512360914355</v>
      </c>
      <c r="AO22" s="95">
        <f t="shared" si="0"/>
        <v>5.5979525824306915</v>
      </c>
    </row>
    <row r="23" spans="2:41" ht="24.75" customHeight="1" thickBot="1" x14ac:dyDescent="0.3">
      <c r="B23" s="9"/>
      <c r="C23" s="29" t="s">
        <v>4</v>
      </c>
      <c r="D23" s="195"/>
      <c r="E23" s="160"/>
      <c r="F23" s="33" t="s">
        <v>72</v>
      </c>
      <c r="G23" s="33"/>
      <c r="H23" s="34"/>
      <c r="I23"/>
      <c r="J23" s="1"/>
      <c r="K23" s="66"/>
      <c r="L23" s="67"/>
      <c r="M23" s="67"/>
      <c r="N23" s="67"/>
      <c r="O23" s="67"/>
      <c r="P23" s="67"/>
      <c r="Q23" s="68"/>
      <c r="R23" s="12"/>
      <c r="AB23" s="92" t="s">
        <v>18</v>
      </c>
      <c r="AC23" s="94">
        <v>121</v>
      </c>
      <c r="AD23" s="94">
        <v>127</v>
      </c>
      <c r="AE23" s="94">
        <v>150</v>
      </c>
      <c r="AF23" s="94">
        <v>218</v>
      </c>
      <c r="AG23" s="94">
        <v>166</v>
      </c>
      <c r="AH23" s="94">
        <v>125</v>
      </c>
      <c r="AI23" s="92" t="s">
        <v>18</v>
      </c>
      <c r="AJ23" s="95">
        <f>1000/(1.60934*AC23)</f>
        <v>5.1353118731388987</v>
      </c>
      <c r="AK23" s="95">
        <f t="shared" si="0"/>
        <v>4.8926987137780058</v>
      </c>
      <c r="AL23" s="95">
        <f t="shared" si="0"/>
        <v>4.1424849109987116</v>
      </c>
      <c r="AM23" s="95">
        <f t="shared" si="0"/>
        <v>2.8503336543569118</v>
      </c>
      <c r="AN23" s="95">
        <f t="shared" si="0"/>
        <v>3.7432092569265465</v>
      </c>
      <c r="AO23" s="95">
        <f t="shared" si="0"/>
        <v>4.970981893198454</v>
      </c>
    </row>
    <row r="24" spans="2:41" ht="24.75" customHeight="1" thickBot="1" x14ac:dyDescent="0.3">
      <c r="B24" s="9"/>
      <c r="C24" s="29" t="s">
        <v>5</v>
      </c>
      <c r="D24" s="195"/>
      <c r="E24" s="160"/>
      <c r="F24" s="33" t="s">
        <v>73</v>
      </c>
      <c r="G24" s="33"/>
      <c r="H24" s="34"/>
      <c r="I24"/>
      <c r="J24" s="1"/>
      <c r="K24" s="66"/>
      <c r="L24" s="67"/>
      <c r="M24" s="67"/>
      <c r="N24" s="67"/>
      <c r="O24" s="67"/>
      <c r="P24" s="67"/>
      <c r="Q24" s="68"/>
      <c r="R24" s="12"/>
      <c r="AB24" s="92" t="s">
        <v>19</v>
      </c>
      <c r="AC24" s="94">
        <v>121</v>
      </c>
      <c r="AD24" s="94">
        <v>127</v>
      </c>
      <c r="AE24" s="94">
        <v>150</v>
      </c>
      <c r="AF24" s="94">
        <v>218</v>
      </c>
      <c r="AG24" s="94">
        <v>166</v>
      </c>
      <c r="AH24" s="94">
        <v>125</v>
      </c>
      <c r="AI24" s="92" t="s">
        <v>19</v>
      </c>
      <c r="AJ24" s="95">
        <f>1000/(1.60934*AC24)</f>
        <v>5.1353118731388987</v>
      </c>
      <c r="AK24" s="95">
        <f t="shared" si="0"/>
        <v>4.8926987137780058</v>
      </c>
      <c r="AL24" s="95">
        <f t="shared" si="0"/>
        <v>4.1424849109987116</v>
      </c>
      <c r="AM24" s="95">
        <f t="shared" si="0"/>
        <v>2.8503336543569118</v>
      </c>
      <c r="AN24" s="95">
        <f t="shared" si="0"/>
        <v>3.7432092569265465</v>
      </c>
      <c r="AO24" s="95">
        <f t="shared" si="0"/>
        <v>4.970981893198454</v>
      </c>
    </row>
    <row r="25" spans="2:41" ht="24.75" customHeight="1" thickBot="1" x14ac:dyDescent="0.3">
      <c r="B25" s="9"/>
      <c r="C25" s="30" t="s">
        <v>6</v>
      </c>
      <c r="D25" s="191"/>
      <c r="E25" s="192"/>
      <c r="F25" s="62" t="s">
        <v>74</v>
      </c>
      <c r="G25" s="62"/>
      <c r="H25" s="36"/>
      <c r="I25"/>
      <c r="J25" s="1"/>
      <c r="K25" s="72"/>
      <c r="L25" s="73"/>
      <c r="M25" s="73"/>
      <c r="N25" s="73"/>
      <c r="O25" s="74"/>
      <c r="P25" s="73"/>
      <c r="Q25" s="75"/>
      <c r="R25" s="12"/>
      <c r="AB25" s="92"/>
      <c r="AC25" s="94"/>
      <c r="AD25" s="94"/>
      <c r="AE25" s="94"/>
      <c r="AF25" s="94"/>
      <c r="AG25" s="94"/>
      <c r="AH25" s="94"/>
      <c r="AJ25" s="94"/>
      <c r="AK25" s="94"/>
      <c r="AL25" s="94"/>
      <c r="AM25" s="94"/>
      <c r="AN25" s="94"/>
      <c r="AO25" s="94"/>
    </row>
    <row r="26" spans="2:41" s="87" customFormat="1" ht="27.75" customHeight="1" thickBot="1" x14ac:dyDescent="0.3">
      <c r="B26" s="174" t="s">
        <v>61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6"/>
      <c r="AC26" s="96"/>
      <c r="AD26" s="96"/>
      <c r="AE26" s="96"/>
      <c r="AF26" s="96"/>
      <c r="AG26" s="96"/>
      <c r="AH26" s="96"/>
    </row>
    <row r="27" spans="2:41" x14ac:dyDescent="0.25">
      <c r="D27" s="86"/>
      <c r="E27" s="86"/>
      <c r="F27" s="86"/>
      <c r="G27" s="86"/>
      <c r="J27" s="86"/>
    </row>
    <row r="28" spans="2:41" x14ac:dyDescent="0.25">
      <c r="D28" s="86"/>
      <c r="E28" s="86"/>
      <c r="F28" s="86"/>
      <c r="G28" s="86"/>
      <c r="J28" s="86"/>
      <c r="AB28" s="86" t="s">
        <v>46</v>
      </c>
      <c r="AC28" s="89">
        <f>D14</f>
        <v>0</v>
      </c>
      <c r="AD28" s="97">
        <f>VLOOKUP($C$11,$AI$20:$AN$24,2,FALSE)</f>
        <v>5.1353118731388987</v>
      </c>
    </row>
    <row r="29" spans="2:41" x14ac:dyDescent="0.25">
      <c r="D29" s="86"/>
      <c r="E29" s="86"/>
      <c r="F29" s="86"/>
      <c r="G29" s="86"/>
      <c r="AB29" s="86" t="s">
        <v>47</v>
      </c>
      <c r="AC29" s="89">
        <f>D15</f>
        <v>0</v>
      </c>
      <c r="AD29" s="97">
        <f>VLOOKUP($C$11,$AI$20:$AN$24,3,FALSE)</f>
        <v>4.8926987137780058</v>
      </c>
    </row>
    <row r="30" spans="2:41" x14ac:dyDescent="0.25">
      <c r="D30" s="86"/>
      <c r="E30" s="86"/>
      <c r="F30" s="86"/>
      <c r="G30" s="86"/>
      <c r="AB30" s="86" t="s">
        <v>48</v>
      </c>
      <c r="AC30" s="89">
        <f>D16</f>
        <v>0</v>
      </c>
      <c r="AD30" s="97">
        <f>VLOOKUP($C$11,$AI$20:$AN$24,4,FALSE)</f>
        <v>4.1424849109987116</v>
      </c>
    </row>
    <row r="31" spans="2:41" x14ac:dyDescent="0.25">
      <c r="AB31" s="86" t="s">
        <v>49</v>
      </c>
      <c r="AC31" s="89">
        <f>D17</f>
        <v>0</v>
      </c>
      <c r="AD31" s="97">
        <f>VLOOKUP($C$11,$AI$20:$AN$24,5,FALSE)</f>
        <v>2.8503336543569118</v>
      </c>
    </row>
    <row r="32" spans="2:41" hidden="1" x14ac:dyDescent="0.25">
      <c r="AB32" s="87" t="s">
        <v>50</v>
      </c>
      <c r="AC32" s="96"/>
      <c r="AD32" s="98">
        <f>SUMPRODUCT(AC28:AC31,AD28:AD31)</f>
        <v>0</v>
      </c>
    </row>
    <row r="33" spans="2:14" ht="26.25" hidden="1" x14ac:dyDescent="0.4">
      <c r="B33" s="99" t="s">
        <v>27</v>
      </c>
      <c r="C33" s="100"/>
      <c r="D33" s="101"/>
      <c r="E33" s="146" t="e">
        <f>D7/D20</f>
        <v>#DIV/0!</v>
      </c>
      <c r="F33" s="146"/>
      <c r="G33" s="147"/>
      <c r="H33" s="104"/>
      <c r="I33" s="105"/>
    </row>
    <row r="34" spans="2:14" ht="26.25" hidden="1" x14ac:dyDescent="0.4">
      <c r="B34" s="99" t="s">
        <v>22</v>
      </c>
      <c r="C34" s="100"/>
      <c r="D34" s="101"/>
      <c r="E34" s="146" t="e">
        <f>E33*(1-D25)</f>
        <v>#DIV/0!</v>
      </c>
      <c r="F34" s="146"/>
      <c r="G34" s="147"/>
      <c r="H34" s="104"/>
      <c r="I34" s="105"/>
    </row>
    <row r="35" spans="2:14" ht="26.25" hidden="1" x14ac:dyDescent="0.4">
      <c r="B35" s="99"/>
      <c r="C35" s="100"/>
      <c r="D35" s="101"/>
      <c r="E35" s="102"/>
      <c r="F35" s="102"/>
      <c r="G35" s="103"/>
      <c r="H35" s="104"/>
      <c r="I35" s="105"/>
    </row>
    <row r="36" spans="2:14" ht="26.25" hidden="1" x14ac:dyDescent="0.4">
      <c r="B36" s="99" t="s">
        <v>25</v>
      </c>
      <c r="C36" s="100"/>
      <c r="D36" s="101"/>
      <c r="E36" s="146" t="e">
        <f>E33*D25</f>
        <v>#DIV/0!</v>
      </c>
      <c r="F36" s="146"/>
      <c r="G36" s="147"/>
      <c r="H36" s="104"/>
      <c r="I36" s="105"/>
    </row>
    <row r="37" spans="2:14" ht="26.25" hidden="1" x14ac:dyDescent="0.4">
      <c r="B37" s="99" t="s">
        <v>23</v>
      </c>
      <c r="C37" s="100"/>
      <c r="D37" s="101"/>
      <c r="E37" s="146" t="e">
        <f>E34*D23</f>
        <v>#DIV/0!</v>
      </c>
      <c r="F37" s="146"/>
      <c r="G37" s="147"/>
      <c r="H37" s="104"/>
      <c r="I37" s="105"/>
    </row>
    <row r="38" spans="2:14" ht="26.25" hidden="1" x14ac:dyDescent="0.4">
      <c r="B38" s="99" t="s">
        <v>24</v>
      </c>
      <c r="C38" s="106"/>
      <c r="D38" s="101"/>
      <c r="E38" s="146" t="e">
        <f>E36*D24</f>
        <v>#DIV/0!</v>
      </c>
      <c r="F38" s="146"/>
      <c r="G38" s="147"/>
      <c r="H38" s="104"/>
      <c r="I38" s="105"/>
    </row>
    <row r="39" spans="2:14" hidden="1" x14ac:dyDescent="0.25">
      <c r="L39" s="86" t="s">
        <v>70</v>
      </c>
      <c r="M39" s="86" t="str">
        <f>N4</f>
        <v>e Vitara 61kWh Ultra ALLGRIP-e</v>
      </c>
      <c r="N39" s="86" t="s">
        <v>71</v>
      </c>
    </row>
    <row r="40" spans="2:14" hidden="1" x14ac:dyDescent="0.25">
      <c r="L40" s="112" t="str">
        <f>N6</f>
        <v/>
      </c>
      <c r="M40" s="112" t="e">
        <f>P6</f>
        <v>#VALUE!</v>
      </c>
      <c r="N40" s="112"/>
    </row>
    <row r="41" spans="2:14" hidden="1" x14ac:dyDescent="0.25">
      <c r="M41" s="112" t="str">
        <f>L6</f>
        <v/>
      </c>
    </row>
    <row r="42" spans="2:14" hidden="1" x14ac:dyDescent="0.25"/>
    <row r="43" spans="2:14" hidden="1" x14ac:dyDescent="0.25">
      <c r="E43" s="89">
        <f>SUM(D14:E17)</f>
        <v>0</v>
      </c>
      <c r="F43" s="89"/>
    </row>
    <row r="44" spans="2:14" hidden="1" x14ac:dyDescent="0.25"/>
    <row r="45" spans="2:14" hidden="1" x14ac:dyDescent="0.25"/>
    <row r="46" spans="2:14" hidden="1" x14ac:dyDescent="0.25">
      <c r="L46" s="86" t="s">
        <v>70</v>
      </c>
      <c r="M46" s="86" t="str">
        <f>N4</f>
        <v>e Vitara 61kWh Ultra ALLGRIP-e</v>
      </c>
      <c r="N46" s="86" t="s">
        <v>71</v>
      </c>
    </row>
    <row r="47" spans="2:14" hidden="1" x14ac:dyDescent="0.25">
      <c r="L47" s="112" t="str">
        <f>N7</f>
        <v/>
      </c>
      <c r="M47" s="112" t="e">
        <f>P7</f>
        <v>#VALUE!</v>
      </c>
      <c r="N47" s="112"/>
    </row>
    <row r="48" spans="2:14" hidden="1" x14ac:dyDescent="0.25">
      <c r="M48" s="112" t="str">
        <f>L7</f>
        <v/>
      </c>
    </row>
    <row r="49" hidden="1" x14ac:dyDescent="0.25"/>
  </sheetData>
  <sheetProtection algorithmName="SHA-512" hashValue="QNkvQhyvkkksk2PXVln5/Vhf4gd7TVgZtUZT31H24vUPpRxYZeo71yd3HTZtZ5d0E9n1zzdflJlt/0qVvXMTKw==" saltValue="KVF4QlQ3pzunZxy5MvTzNA==" spinCount="100000" sheet="1" objects="1" scenarios="1" selectLockedCells="1"/>
  <mergeCells count="40">
    <mergeCell ref="L4:M5"/>
    <mergeCell ref="N4:O5"/>
    <mergeCell ref="P4:Q5"/>
    <mergeCell ref="D14:E14"/>
    <mergeCell ref="C13:E13"/>
    <mergeCell ref="C4:E4"/>
    <mergeCell ref="D5:E5"/>
    <mergeCell ref="L6:M6"/>
    <mergeCell ref="N6:O6"/>
    <mergeCell ref="P6:Q6"/>
    <mergeCell ref="C10:E10"/>
    <mergeCell ref="C11:E11"/>
    <mergeCell ref="D6:E6"/>
    <mergeCell ref="D7:E7"/>
    <mergeCell ref="F11:H11"/>
    <mergeCell ref="F10:H10"/>
    <mergeCell ref="E38:G38"/>
    <mergeCell ref="E33:G33"/>
    <mergeCell ref="E34:G34"/>
    <mergeCell ref="E36:G36"/>
    <mergeCell ref="K3:K5"/>
    <mergeCell ref="C3:E3"/>
    <mergeCell ref="B26:R26"/>
    <mergeCell ref="P11:Q12"/>
    <mergeCell ref="P10:Q10"/>
    <mergeCell ref="P13:Q13"/>
    <mergeCell ref="D18:E18"/>
    <mergeCell ref="D15:E15"/>
    <mergeCell ref="D16:E16"/>
    <mergeCell ref="D17:E17"/>
    <mergeCell ref="D25:E25"/>
    <mergeCell ref="D20:E20"/>
    <mergeCell ref="C9:E9"/>
    <mergeCell ref="L7:M7"/>
    <mergeCell ref="N7:O7"/>
    <mergeCell ref="P7:Q7"/>
    <mergeCell ref="E37:G37"/>
    <mergeCell ref="C22:E22"/>
    <mergeCell ref="D23:E23"/>
    <mergeCell ref="D24:E24"/>
  </mergeCells>
  <conditionalFormatting sqref="P6:Q7 H33:I38">
    <cfRule type="cellIs" dxfId="1" priority="1" operator="lessThanOrEqual">
      <formula>0</formula>
    </cfRule>
    <cfRule type="cellIs" dxfId="0" priority="2" operator="greaterThan">
      <formula>0</formula>
    </cfRule>
  </conditionalFormatting>
  <dataValidations count="9">
    <dataValidation type="list" allowBlank="1" showInputMessage="1" showErrorMessage="1" sqref="C11:E11" xr:uid="{1CBB1DF5-BD58-4965-9C6B-B79171DA999E}">
      <formula1>$W$13:$W$17</formula1>
    </dataValidation>
    <dataValidation type="whole" operator="notEqual" allowBlank="1" showInputMessage="1" showErrorMessage="1" errorTitle="Total" error="Total driving does not =100%. please recalculate" sqref="F18" xr:uid="{4F495654-45E7-4D5F-A983-BD26B4264DBB}">
      <formula1>1</formula1>
    </dataValidation>
    <dataValidation type="decimal" allowBlank="1" showInputMessage="1" showErrorMessage="1" error="Please input a value between £0-0.50" sqref="D23:E23" xr:uid="{5BED36C9-A27E-4FC1-83C3-3D0899C82DDC}">
      <formula1>0</formula1>
      <formula2>0.5</formula2>
    </dataValidation>
    <dataValidation type="decimal" allowBlank="1" showInputMessage="1" showErrorMessage="1" error="Please input a value between £0-1" sqref="D24:E24" xr:uid="{D95AE27B-3A32-4A83-BE86-045BAD536D1E}">
      <formula1>0</formula1>
      <formula2>1</formula2>
    </dataValidation>
    <dataValidation type="decimal" allowBlank="1" showInputMessage="1" showErrorMessage="1" sqref="B26:R26" xr:uid="{F1CE0CB6-C3D7-4AF7-8930-6413BA9DFED7}">
      <formula1>0</formula1>
      <formula2>100</formula2>
    </dataValidation>
    <dataValidation type="decimal" allowBlank="1" showInputMessage="1" showErrorMessage="1" error="Please input a value between 0-100%" sqref="D25:E25" xr:uid="{3A425F6D-5A87-4B4C-B7F2-6C80DACE0A3D}">
      <formula1>0</formula1>
      <formula2>1</formula2>
    </dataValidation>
    <dataValidation type="decimal" allowBlank="1" showInputMessage="1" showErrorMessage="1" error="Please input a value between £0-2.00" sqref="D5:E5" xr:uid="{AADF87D1-40FD-4138-884E-C919666847D1}">
      <formula1>0</formula1>
      <formula2>2</formula2>
    </dataValidation>
    <dataValidation type="decimal" allowBlank="1" showInputMessage="1" showErrorMessage="1" sqref="D6:E6" xr:uid="{C2E7CB42-A104-4ED5-91BC-2FC4B9222106}">
      <formula1>0</formula1>
      <formula2>70</formula2>
    </dataValidation>
    <dataValidation type="decimal" allowBlank="1" showInputMessage="1" showErrorMessage="1" errorTitle="Total" error="Total driving does not =100%. please recalculate" sqref="D18:E18" xr:uid="{876FC4DD-E650-4EFD-84A4-5523519184EE}">
      <formula1>0</formula1>
      <formula2>1</formula2>
    </dataValidation>
  </dataValidations>
  <pageMargins left="0.7" right="0.7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f5e9ced-fb87-4c35-8144-54704cbfb2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27EB591CAA54FADBE745906E33A4F" ma:contentTypeVersion="19" ma:contentTypeDescription="Create a new document." ma:contentTypeScope="" ma:versionID="348bb45609a7393c76a1034ebcae241a">
  <xsd:schema xmlns:xsd="http://www.w3.org/2001/XMLSchema" xmlns:xs="http://www.w3.org/2001/XMLSchema" xmlns:p="http://schemas.microsoft.com/office/2006/metadata/properties" xmlns:ns3="df5e9ced-fb87-4c35-8144-54704cbfb26c" xmlns:ns4="38108e50-e307-402b-aae4-3a140fad8e0b" targetNamespace="http://schemas.microsoft.com/office/2006/metadata/properties" ma:root="true" ma:fieldsID="082678536164936c3a61a7db16ca984e" ns3:_="" ns4:_="">
    <xsd:import namespace="df5e9ced-fb87-4c35-8144-54704cbfb26c"/>
    <xsd:import namespace="38108e50-e307-402b-aae4-3a140fad8e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e9ced-fb87-4c35-8144-54704cbfb2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08e50-e307-402b-aae4-3a140fad8e0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B5BF7-85E8-4D76-B9A8-3AFE5F249230}">
  <ds:schemaRefs>
    <ds:schemaRef ds:uri="http://purl.org/dc/elements/1.1/"/>
    <ds:schemaRef ds:uri="38108e50-e307-402b-aae4-3a140fad8e0b"/>
    <ds:schemaRef ds:uri="http://schemas.microsoft.com/office/2006/metadata/properties"/>
    <ds:schemaRef ds:uri="http://schemas.microsoft.com/office/2006/documentManagement/types"/>
    <ds:schemaRef ds:uri="df5e9ced-fb87-4c35-8144-54704cbfb26c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4CCAD4-2214-4FAA-B98E-C30673F21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5CA12-E5BE-4DD5-A61E-08E5F72BF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5e9ced-fb87-4c35-8144-54704cbfb26c"/>
    <ds:schemaRef ds:uri="38108e50-e307-402b-aae4-3a140fad8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e Vitara Cost of Ownership Calc</vt:lpstr>
      <vt:lpstr>'e Vitara Cost of Ownership Calc'!Print_Area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Matthews, Toby</dc:creator>
  <cp:lastModifiedBy>Norman, Edward</cp:lastModifiedBy>
  <cp:lastPrinted>2025-09-30T10:15:07Z</cp:lastPrinted>
  <dcterms:created xsi:type="dcterms:W3CDTF">2025-08-13T10:16:24Z</dcterms:created>
  <dcterms:modified xsi:type="dcterms:W3CDTF">2025-10-01T14:25:34Z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0x01010006D27EB591CAA54FADBE745906E33A4F</vt:lpwstr>
  </property>
</Properties>
</file>